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tabRatio="928" firstSheet="10" activeTab="12"/>
  </bookViews>
  <sheets>
    <sheet name="Fragmentation" sheetId="1" r:id="rId1"/>
    <sheet name="MAU" sheetId="2" r:id="rId2"/>
    <sheet name="% MNI" sheetId="3" r:id="rId3"/>
    <sheet name="ElementDistrib" sheetId="4" r:id="rId4"/>
    <sheet name="Density Quartiles" sheetId="5" r:id="rId5"/>
    <sheet name="MGUI and Density Rank" sheetId="6" r:id="rId6"/>
    <sheet name="MGUIQuartiles" sheetId="7" r:id="rId7"/>
    <sheet name="Burned" sheetId="8" r:id="rId8"/>
    <sheet name="Element count NISP" sheetId="9" r:id="rId9"/>
    <sheet name="MAU Selected Elements" sheetId="10" r:id="rId10"/>
    <sheet name="MNI% Selected Elements" sheetId="11" r:id="rId11"/>
    <sheet name="MAU% Selected Elements" sheetId="12" r:id="rId12"/>
    <sheet name="Entry &amp; Calcs" sheetId="13" r:id="rId13"/>
  </sheets>
  <definedNames>
    <definedName name="black">'Entry &amp; Calcs'!$U$3:$U$81</definedName>
    <definedName name="butchery">'Entry &amp; Calcs'!$T$3:$T$81</definedName>
    <definedName name="data">'Entry &amp; Calcs'!$L$3:$AY$81</definedName>
    <definedName name="DD">'Entry &amp; Calcs'!$B$16</definedName>
    <definedName name="five">'Entry &amp; Calcs'!$AA$3:$AA$81</definedName>
    <definedName name="fused">'Entry &amp; Calcs'!$Q$3:$Q$81</definedName>
    <definedName name="gnawing">'Entry &amp; Calcs'!$X$3:$X$81</definedName>
    <definedName name="II">'Entry &amp; Calcs'!$AC$3:$AC$81</definedName>
    <definedName name="interm">'Entry &amp; Calcs'!$R$3:$R$81</definedName>
    <definedName name="main">'Entry &amp; Calcs'!$L$3:$AY$81</definedName>
    <definedName name="maumgui">'Entry &amp; Calcs'!$AP$3:$AP$81</definedName>
    <definedName name="MAUX">'Entry &amp; Calcs'!$B$18</definedName>
    <definedName name="MNI">'Entry &amp; Calcs'!$B$17</definedName>
    <definedName name="newdata">'Entry &amp; Calcs'!$N$3:$AC$81</definedName>
    <definedName name="NISP">'Entry &amp; Calcs'!$B$15</definedName>
    <definedName name="one">'Entry &amp; Calcs'!$Y$3:$Y$81</definedName>
    <definedName name="_xlnm.Print_Area" localSheetId="12">'Entry &amp; Calcs'!$A:$H</definedName>
    <definedName name="RankDense">'Entry &amp; Calcs'!$AJ$3:$AJ$81</definedName>
    <definedName name="rankdnsMAU">'Entry &amp; Calcs'!#REF!</definedName>
    <definedName name="scorch">'Entry &amp; Calcs'!$W$3:$W$81</definedName>
    <definedName name="ten">'Entry &amp; Calcs'!$AB$3:$AB$81</definedName>
    <definedName name="two">'Entry &amp; Calcs'!$Z$3:$Z$81</definedName>
    <definedName name="unfus">'Entry &amp; Calcs'!$S$3:$S$81</definedName>
    <definedName name="white">'Entry &amp; Calcs'!$V$3:$V$81</definedName>
  </definedNames>
  <calcPr fullCalcOnLoad="1"/>
</workbook>
</file>

<file path=xl/comments13.xml><?xml version="1.0" encoding="utf-8"?>
<comments xmlns="http://schemas.openxmlformats.org/spreadsheetml/2006/main">
  <authors>
    <author>Thomas H. McGovern</author>
  </authors>
  <commentList>
    <comment ref="A3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5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7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indicators follow use by Binford (1977) and Speth (1984)
</t>
        </r>
      </text>
    </comment>
    <comment ref="A3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indicator is to flag collections that have high % of loose teeth relative to less dense elements- eroded and ravaged???</t>
        </r>
      </text>
    </comment>
    <comment ref="D24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adapted from Maltby 1985 and other workers. Contrast the dense and less dense end of the same element.
</t>
        </r>
      </text>
    </comment>
    <comment ref="A3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These are only humerus, ulna, radius, femora, tibia, metapodials- not the phalanges or other smaller long bones with less marrow. This is to track presence of large unbroken long bones.</t>
        </r>
      </text>
    </comment>
    <comment ref="A56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Scapula, Humerus, Radius Ulna
</t>
        </r>
      </text>
    </comment>
    <comment ref="A58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Innominate, Femora,Tibia
</t>
        </r>
      </text>
    </comment>
    <comment ref="A59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Carples,metacarples
</t>
        </r>
      </text>
    </comment>
    <comment ref="A60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Tarsals, Metatarsals
</t>
        </r>
      </text>
    </comment>
    <comment ref="A6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Phalanges, sesamoids
</t>
        </r>
      </text>
    </comment>
    <comment ref="D3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Spreadsheet package modified from original Quattro version Spring 2000. Please reference as "T.H. McGovern (2000) </t>
        </r>
        <r>
          <rPr>
            <i/>
            <sz val="8"/>
            <rFont val="Tahoma"/>
            <family val="2"/>
          </rPr>
          <t>NABONE  Zooarchaeology Working Group Spreadsheet Set</t>
        </r>
        <r>
          <rPr>
            <sz val="8"/>
            <rFont val="Tahoma"/>
            <family val="0"/>
          </rPr>
          <t xml:space="preserve"> Version 5, Northern Science &amp; Education Center, City Univ. of New York. For suggestions and comments contact nabo@voicenet.com  For whole program set and associated Access database see NABO Website: www.geo.ed.ac.uk/nabo</t>
        </r>
      </text>
    </comment>
    <comment ref="E2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spreadsheet can be used for both cattle and caprines (sheep and goat), but NOT for deer, pigs, or seals- these have their own NABONE spreadsheets. The most effective way to use this spreadsheet is to load a blank version, enter data by taxon and context, and then save the new spreadsheet under a different name (keeping the original blank for re-use). Don't forget to save often! </t>
        </r>
      </text>
    </comment>
    <comment ref="D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Excel spreadsheet is part of the NABONE package developed by the North Atlantic Biocultural Organization (NABO) 1997-2000. The whole package includes an Access database and a manual, and we are developing CD R osteological manuals for the area. For more information on NABO, see www. geo.ed.ac.uk/nabo/home</t>
        </r>
      </text>
    </comment>
    <comment ref="AG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Minimal Animal Unit= RF on older Qbone spreadsheets. NISP/ number of times element occurs in skeleton</t>
        </r>
      </text>
    </comment>
    <comment ref="AI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  <comment ref="AJ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a simple break down of element density rank by quartile (very dense to not) on a 1-4 scale (1=very dense). This is based on the Binford et al column just to the left.
</t>
        </r>
      </text>
    </comment>
    <comment ref="AO1" authorId="0">
      <text>
        <r>
          <rPr>
            <b/>
            <sz val="8"/>
            <rFont val="Tahoma"/>
            <family val="0"/>
          </rPr>
          <t>Thomas H. McGovern:</t>
        </r>
        <r>
          <rPr>
            <sz val="8"/>
            <rFont val="Tahoma"/>
            <family val="0"/>
          </rPr>
          <t xml:space="preserve">
This is the Binford and Betram (77) figures as adjusted by Speth (93)</t>
        </r>
      </text>
    </comment>
  </commentList>
</comments>
</file>

<file path=xl/sharedStrings.xml><?xml version="1.0" encoding="utf-8"?>
<sst xmlns="http://schemas.openxmlformats.org/spreadsheetml/2006/main" count="367" uniqueCount="350">
  <si>
    <t>Ref.</t>
  </si>
  <si>
    <t>ELEMENT</t>
  </si>
  <si>
    <t>NISP</t>
  </si>
  <si>
    <t>NN</t>
  </si>
  <si>
    <t>OLD</t>
  </si>
  <si>
    <t>Fused</t>
  </si>
  <si>
    <t>Calvar._cent.</t>
  </si>
  <si>
    <t>Calvar._bilat.</t>
  </si>
  <si>
    <t>Premaxilla</t>
  </si>
  <si>
    <t>Maxilla_cent.</t>
  </si>
  <si>
    <t>Maxilla_bilat.</t>
  </si>
  <si>
    <t>Mandible</t>
  </si>
  <si>
    <t>Hyoid</t>
  </si>
  <si>
    <t>Incisor</t>
  </si>
  <si>
    <t>Canine</t>
  </si>
  <si>
    <t>Premolar</t>
  </si>
  <si>
    <t>Molar</t>
  </si>
  <si>
    <t>Tooth_frag.</t>
  </si>
  <si>
    <t>Atlas</t>
  </si>
  <si>
    <t>Axis</t>
  </si>
  <si>
    <t>Cervical_other</t>
  </si>
  <si>
    <t>Thoracic_vert.</t>
  </si>
  <si>
    <t>Lumbar_vert.</t>
  </si>
  <si>
    <t>Sacrum(fused)</t>
  </si>
  <si>
    <t>Caudal_vert.</t>
  </si>
  <si>
    <t>Innominate</t>
  </si>
  <si>
    <t>Rib_proximal</t>
  </si>
  <si>
    <t>Scapula</t>
  </si>
  <si>
    <t>Humerus_wh.</t>
  </si>
  <si>
    <t>Humerus_P</t>
  </si>
  <si>
    <t>Humerus_D</t>
  </si>
  <si>
    <t>Humerus_sh.</t>
  </si>
  <si>
    <t>Radius_wh.</t>
  </si>
  <si>
    <t>Radius_P</t>
  </si>
  <si>
    <t>Radius_D</t>
  </si>
  <si>
    <t>Radius_sh.</t>
  </si>
  <si>
    <t>Ulna_wh.</t>
  </si>
  <si>
    <t>Ulna_P</t>
  </si>
  <si>
    <t>Ulna_D</t>
  </si>
  <si>
    <t>Carples</t>
  </si>
  <si>
    <t>Metacarple_wh.</t>
  </si>
  <si>
    <t>Metacarple_P</t>
  </si>
  <si>
    <t>Metacarple_D</t>
  </si>
  <si>
    <t>Metacarple_sh.</t>
  </si>
  <si>
    <t>Astragalus</t>
  </si>
  <si>
    <t>Calcaneus</t>
  </si>
  <si>
    <t>Navic._Cub.</t>
  </si>
  <si>
    <t>Tarsals other</t>
  </si>
  <si>
    <t>Metatarsal_wh.</t>
  </si>
  <si>
    <t>Metatarsal_P</t>
  </si>
  <si>
    <t>Metatarsal_D</t>
  </si>
  <si>
    <t>Metatarsal_sh.</t>
  </si>
  <si>
    <t>Metapodial_wh.</t>
  </si>
  <si>
    <t>Metapodial_P</t>
  </si>
  <si>
    <t>Metapodial_D</t>
  </si>
  <si>
    <t>Metapodial_sh.</t>
  </si>
  <si>
    <t>Phalanx_I_wh.</t>
  </si>
  <si>
    <t>Phalanx_I_P</t>
  </si>
  <si>
    <t>Phalanx_I_D</t>
  </si>
  <si>
    <t>Phalanx_I_sh.</t>
  </si>
  <si>
    <t>Phalanx_II_wh.</t>
  </si>
  <si>
    <t>Phalanx_II_P</t>
  </si>
  <si>
    <t>Phalanx_II_D</t>
  </si>
  <si>
    <t>Phalanx_II_sh.</t>
  </si>
  <si>
    <t>Phalanx_III_wh.</t>
  </si>
  <si>
    <t>Phalanx_III_P</t>
  </si>
  <si>
    <t>Phalanx_III_D</t>
  </si>
  <si>
    <t>Phalanx_frag.</t>
  </si>
  <si>
    <t>Femur_wh.</t>
  </si>
  <si>
    <t>Femur_P</t>
  </si>
  <si>
    <t>Femur_D</t>
  </si>
  <si>
    <t>Femur_sh.</t>
  </si>
  <si>
    <t>Patella</t>
  </si>
  <si>
    <t>Tibia_wh.</t>
  </si>
  <si>
    <t>Tibia_P</t>
  </si>
  <si>
    <t>Tibia_D</t>
  </si>
  <si>
    <t>Tibia_sh.</t>
  </si>
  <si>
    <t>Sternum_cent.</t>
  </si>
  <si>
    <t>Sternum_bilat.</t>
  </si>
  <si>
    <t>Density</t>
  </si>
  <si>
    <t>Density Rank</t>
  </si>
  <si>
    <t>MGUI</t>
  </si>
  <si>
    <t>MGUI Rank</t>
  </si>
  <si>
    <t>%of_MNI</t>
  </si>
  <si>
    <t>CalC</t>
  </si>
  <si>
    <t>CalB</t>
  </si>
  <si>
    <t>PMx</t>
  </si>
  <si>
    <t>MxC</t>
  </si>
  <si>
    <t>MxB</t>
  </si>
  <si>
    <t>Mn</t>
  </si>
  <si>
    <t>Hy</t>
  </si>
  <si>
    <t>In</t>
  </si>
  <si>
    <t>Cn</t>
  </si>
  <si>
    <t>PM</t>
  </si>
  <si>
    <t>Mo</t>
  </si>
  <si>
    <t>Tfrg</t>
  </si>
  <si>
    <t>At</t>
  </si>
  <si>
    <t>Ax</t>
  </si>
  <si>
    <t>Cvo</t>
  </si>
  <si>
    <t>Th</t>
  </si>
  <si>
    <t>Lum</t>
  </si>
  <si>
    <t>Sac</t>
  </si>
  <si>
    <t>Cdl</t>
  </si>
  <si>
    <t>Inm</t>
  </si>
  <si>
    <t>Rib</t>
  </si>
  <si>
    <t>Sc</t>
  </si>
  <si>
    <t>HuW</t>
  </si>
  <si>
    <t>HuP</t>
  </si>
  <si>
    <t>HuD</t>
  </si>
  <si>
    <t>HuS</t>
  </si>
  <si>
    <t>RaW</t>
  </si>
  <si>
    <t>RaP</t>
  </si>
  <si>
    <t>RaD</t>
  </si>
  <si>
    <t>RaS</t>
  </si>
  <si>
    <t>UlW</t>
  </si>
  <si>
    <t>UlP</t>
  </si>
  <si>
    <t>UlD</t>
  </si>
  <si>
    <t>Car</t>
  </si>
  <si>
    <t>McW</t>
  </si>
  <si>
    <t>McP</t>
  </si>
  <si>
    <t>McD</t>
  </si>
  <si>
    <t>McS</t>
  </si>
  <si>
    <t>Ast</t>
  </si>
  <si>
    <t>Clc</t>
  </si>
  <si>
    <t>NvC</t>
  </si>
  <si>
    <t>TarO</t>
  </si>
  <si>
    <t>MtW</t>
  </si>
  <si>
    <t>MtP</t>
  </si>
  <si>
    <t>MtD</t>
  </si>
  <si>
    <t>MtS</t>
  </si>
  <si>
    <t>MpW</t>
  </si>
  <si>
    <t>MpP</t>
  </si>
  <si>
    <t>MpD</t>
  </si>
  <si>
    <t>MpS</t>
  </si>
  <si>
    <t>P1W</t>
  </si>
  <si>
    <t>P1P</t>
  </si>
  <si>
    <t>P1D</t>
  </si>
  <si>
    <t>P1S</t>
  </si>
  <si>
    <t>P2W</t>
  </si>
  <si>
    <t>P2P</t>
  </si>
  <si>
    <t>P2D</t>
  </si>
  <si>
    <t>P2S</t>
  </si>
  <si>
    <t>P3W</t>
  </si>
  <si>
    <t>P3P</t>
  </si>
  <si>
    <t>P3D</t>
  </si>
  <si>
    <t>Pfrg</t>
  </si>
  <si>
    <t>FeW</t>
  </si>
  <si>
    <t>FeP</t>
  </si>
  <si>
    <t>FeD</t>
  </si>
  <si>
    <t>FeS</t>
  </si>
  <si>
    <t>Pat</t>
  </si>
  <si>
    <t>TiW</t>
  </si>
  <si>
    <t>TiP</t>
  </si>
  <si>
    <t>TiD</t>
  </si>
  <si>
    <t>TiS</t>
  </si>
  <si>
    <t>StnC</t>
  </si>
  <si>
    <t>StnB</t>
  </si>
  <si>
    <t>Interm</t>
  </si>
  <si>
    <t>Unfus</t>
  </si>
  <si>
    <t>Butchery</t>
  </si>
  <si>
    <t>Black</t>
  </si>
  <si>
    <t>White</t>
  </si>
  <si>
    <t>Age</t>
  </si>
  <si>
    <t>Fusion</t>
  </si>
  <si>
    <t>Burning</t>
  </si>
  <si>
    <t>Gnawing</t>
  </si>
  <si>
    <t>Fragmentation</t>
  </si>
  <si>
    <t>1</t>
  </si>
  <si>
    <t>2</t>
  </si>
  <si>
    <t>5</t>
  </si>
  <si>
    <t>10</t>
  </si>
  <si>
    <t>Sesamoid</t>
  </si>
  <si>
    <t>Ses</t>
  </si>
  <si>
    <t>freq. In skel.</t>
  </si>
  <si>
    <t>MAU</t>
  </si>
  <si>
    <t>Quartile</t>
  </si>
  <si>
    <t>MNI (MAU max)</t>
  </si>
  <si>
    <t>FRAGMENTATION</t>
  </si>
  <si>
    <t>1-2 cm</t>
  </si>
  <si>
    <t>2-5 cm</t>
  </si>
  <si>
    <t>5-10 cm</t>
  </si>
  <si>
    <t>&gt;10 cm</t>
  </si>
  <si>
    <t xml:space="preserve">% </t>
  </si>
  <si>
    <t>total</t>
  </si>
  <si>
    <t>Taxon</t>
  </si>
  <si>
    <t>CONTEXT</t>
  </si>
  <si>
    <t>Site</t>
  </si>
  <si>
    <t>Region</t>
  </si>
  <si>
    <t>Unit</t>
  </si>
  <si>
    <t>X</t>
  </si>
  <si>
    <t>Y</t>
  </si>
  <si>
    <t>SU/Layer</t>
  </si>
  <si>
    <t>AU/Phase</t>
  </si>
  <si>
    <t>Other Context</t>
  </si>
  <si>
    <t>Z (depth)</t>
  </si>
  <si>
    <t>Date</t>
  </si>
  <si>
    <t>MEASURES OF ABUNDANCE</t>
  </si>
  <si>
    <t>TAPHONOMIC INDICATORS</t>
  </si>
  <si>
    <t>Teeth % NISP</t>
  </si>
  <si>
    <t>D Hum/P Hum</t>
  </si>
  <si>
    <t xml:space="preserve">Chewing </t>
  </si>
  <si>
    <t>#</t>
  </si>
  <si>
    <t>D Fem/P Fem</t>
  </si>
  <si>
    <t>All Cranial</t>
  </si>
  <si>
    <t>NISP/Volume (DD)</t>
  </si>
  <si>
    <t>Volume(cu cm)</t>
  </si>
  <si>
    <r>
      <t>NABONE</t>
    </r>
    <r>
      <rPr>
        <sz val="28"/>
        <rFont val="Braggadocio"/>
        <family val="5"/>
      </rPr>
      <t xml:space="preserve"> </t>
    </r>
  </si>
  <si>
    <t>MAU Stand. Dev.</t>
  </si>
  <si>
    <t>MAU sum</t>
  </si>
  <si>
    <t>MAU Coeff. Variation</t>
  </si>
  <si>
    <t>%MNI, P Hum</t>
  </si>
  <si>
    <t>%MNI, D Hum</t>
  </si>
  <si>
    <t>%MNI, P Tibia</t>
  </si>
  <si>
    <t>%MNI, D Tibia</t>
  </si>
  <si>
    <t>NISP/MNI</t>
  </si>
  <si>
    <t>Long Bone Shaft % NISP</t>
  </si>
  <si>
    <t>D Tibia/P Tibia</t>
  </si>
  <si>
    <t>%NISP</t>
  </si>
  <si>
    <t>Whole Long B % NISP</t>
  </si>
  <si>
    <t>Bone Density by Quartile</t>
  </si>
  <si>
    <t>Most dense (1st)</t>
  </si>
  <si>
    <t>Dense (2nd)</t>
  </si>
  <si>
    <t>Less dense (3rd)</t>
  </si>
  <si>
    <t>Least dense (4th)</t>
  </si>
  <si>
    <t>%MAU</t>
  </si>
  <si>
    <t>Scorch</t>
  </si>
  <si>
    <t>MAU mean (RF)</t>
  </si>
  <si>
    <t>%_MAU_sum</t>
  </si>
  <si>
    <t>MAU*Dens</t>
  </si>
  <si>
    <t>MAU*MGUI</t>
  </si>
  <si>
    <t>&lt;1 cm</t>
  </si>
  <si>
    <t>BURNING</t>
  </si>
  <si>
    <t>White calcined</t>
  </si>
  <si>
    <t>Black charred</t>
  </si>
  <si>
    <t>Spotted scorched</t>
  </si>
  <si>
    <t>MNI % mean</t>
  </si>
  <si>
    <t>MNI% Stand Dev</t>
  </si>
  <si>
    <t>MNI % Coef.Var.</t>
  </si>
  <si>
    <t>Binford Mean MGUI*MAU</t>
  </si>
  <si>
    <t>Forequarter</t>
  </si>
  <si>
    <t>Vert &amp; Ribs</t>
  </si>
  <si>
    <t>Hindquarter</t>
  </si>
  <si>
    <t>Lower Forelimb</t>
  </si>
  <si>
    <t>Lower Hindlimb</t>
  </si>
  <si>
    <t>Feet</t>
  </si>
  <si>
    <t>SKELETAL ELEMENT DISTRIBUTION</t>
  </si>
  <si>
    <t>MAU count</t>
  </si>
  <si>
    <t>Relative % MAU</t>
  </si>
  <si>
    <t>total MAU</t>
  </si>
  <si>
    <t>Count NISP</t>
  </si>
  <si>
    <t>% MAU</t>
  </si>
  <si>
    <t>Phalanx 1/Ph 3</t>
  </si>
  <si>
    <t>NABO Zooarch WG 2000</t>
  </si>
  <si>
    <t>T.H. McGovern '00</t>
  </si>
  <si>
    <t>%MNI</t>
  </si>
  <si>
    <t>Horn Core</t>
  </si>
  <si>
    <t>bones/cu cm</t>
  </si>
  <si>
    <t>MNI/Volume</t>
  </si>
  <si>
    <t>MNI/cu cm</t>
  </si>
  <si>
    <t>simple MNI</t>
  </si>
  <si>
    <t>Identified frags.</t>
  </si>
  <si>
    <t>Binford mean D * MAU</t>
  </si>
  <si>
    <t>Binford mean density</t>
  </si>
  <si>
    <t>Rank 1 MAU</t>
  </si>
  <si>
    <t>Rank 2 MAU</t>
  </si>
  <si>
    <t>density</t>
  </si>
  <si>
    <t>Rank 3 MAU</t>
  </si>
  <si>
    <t>Most dense</t>
  </si>
  <si>
    <t>Least dense</t>
  </si>
  <si>
    <t>Low mid</t>
  </si>
  <si>
    <t>high mid</t>
  </si>
  <si>
    <t>Rank 4 MAU</t>
  </si>
  <si>
    <t>Element code</t>
  </si>
  <si>
    <t># non-zero</t>
  </si>
  <si>
    <t>sum MAU</t>
  </si>
  <si>
    <t>Bone MGUI By Quartile</t>
  </si>
  <si>
    <t>Richest (1st)</t>
  </si>
  <si>
    <t>Rich (2nd)</t>
  </si>
  <si>
    <t>Less Rich (3rd)</t>
  </si>
  <si>
    <t>Poorest (4th)</t>
  </si>
  <si>
    <t>1st</t>
  </si>
  <si>
    <t>2nd</t>
  </si>
  <si>
    <t>3rd</t>
  </si>
  <si>
    <t>4th</t>
  </si>
  <si>
    <t>% MNI Indicators</t>
  </si>
  <si>
    <t>Dense/ Soft End Ratios</t>
  </si>
  <si>
    <t>MARKING</t>
  </si>
  <si>
    <t>notes</t>
  </si>
  <si>
    <t>Bone Density Measures</t>
  </si>
  <si>
    <t>Density and MGUI  % MAU Comparisons</t>
  </si>
  <si>
    <t>Quartile Rank</t>
  </si>
  <si>
    <t>Selected elements</t>
  </si>
  <si>
    <t>Rank 1 MGUI</t>
  </si>
  <si>
    <t>Rank 2 MGUI</t>
  </si>
  <si>
    <t>Rank 3 MGUI</t>
  </si>
  <si>
    <t>Rank 4 MGUI</t>
  </si>
  <si>
    <t>richest</t>
  </si>
  <si>
    <t>rich</t>
  </si>
  <si>
    <t>less rich</t>
  </si>
  <si>
    <t>poor</t>
  </si>
  <si>
    <t>Unburned</t>
  </si>
  <si>
    <t>Not Chewed</t>
  </si>
  <si>
    <t>No Butchery Marks</t>
  </si>
  <si>
    <t>DENSITY MEASURES &gt;</t>
  </si>
  <si>
    <t>MGUI MEASURES &gt;</t>
  </si>
  <si>
    <t>mean MAU= Perkins RF</t>
  </si>
  <si>
    <t>Note Here</t>
  </si>
  <si>
    <t xml:space="preserve"> by taxon</t>
  </si>
  <si>
    <t>(former RF)</t>
  </si>
  <si>
    <t>Data Entry Area</t>
  </si>
  <si>
    <t>Binford (mean D * MAU)/NISP</t>
  </si>
  <si>
    <t>Pelvis</t>
  </si>
  <si>
    <t>Hum Pro</t>
  </si>
  <si>
    <t>Hum Dis</t>
  </si>
  <si>
    <t>Fem Pro</t>
  </si>
  <si>
    <t>Fem Dis</t>
  </si>
  <si>
    <t>Ulna</t>
  </si>
  <si>
    <t>Rad Pro</t>
  </si>
  <si>
    <t>Rad Dis</t>
  </si>
  <si>
    <t>Tib Pro</t>
  </si>
  <si>
    <t>Tib Dis</t>
  </si>
  <si>
    <t>Astrag</t>
  </si>
  <si>
    <t>Calc</t>
  </si>
  <si>
    <t>Mtc Pro</t>
  </si>
  <si>
    <t>Mtc Dis</t>
  </si>
  <si>
    <t>Mtt Pro</t>
  </si>
  <si>
    <t>Mtt Dis</t>
  </si>
  <si>
    <t>Phalanges</t>
  </si>
  <si>
    <t>larger</t>
  </si>
  <si>
    <t>sum</t>
  </si>
  <si>
    <t>AGE</t>
  </si>
  <si>
    <t>Neonatal</t>
  </si>
  <si>
    <t>Old</t>
  </si>
  <si>
    <t>FibW</t>
  </si>
  <si>
    <t>FibP</t>
  </si>
  <si>
    <t>FibD</t>
  </si>
  <si>
    <t>FibS</t>
  </si>
  <si>
    <t>Fibula whole</t>
  </si>
  <si>
    <t>Fibula proximal</t>
  </si>
  <si>
    <t>Fibula distal</t>
  </si>
  <si>
    <t>Fibula shaft</t>
  </si>
  <si>
    <t>NB: THESE MGUI and Density</t>
  </si>
  <si>
    <t>Figures are for Bovids</t>
  </si>
  <si>
    <t>Currently!!!!</t>
  </si>
  <si>
    <t>Use ONLY</t>
  </si>
  <si>
    <t>quartiles</t>
  </si>
  <si>
    <t>cell refs updated and checked 1-5-02</t>
  </si>
  <si>
    <t>template filename : NASUS.XLS</t>
  </si>
  <si>
    <t>Pig Template</t>
  </si>
  <si>
    <t>Sus scrofa (Pig)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</si>
</sst>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1">
    <font>
      <sz val="10"/>
      <name val="Arial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Braggadocio"/>
      <family val="5"/>
    </font>
    <font>
      <b/>
      <sz val="11"/>
      <name val="Arial"/>
      <family val="2"/>
    </font>
    <font>
      <sz val="9"/>
      <name val="Arial"/>
      <family val="2"/>
    </font>
    <font>
      <sz val="28"/>
      <name val="Braggadocio"/>
      <family val="5"/>
    </font>
    <font>
      <sz val="9"/>
      <name val="Arial Narrow"/>
      <family val="2"/>
    </font>
    <font>
      <b/>
      <sz val="14"/>
      <name val="Arial"/>
      <family val="2"/>
    </font>
    <font>
      <sz val="36"/>
      <name val="Braggadocio"/>
      <family val="5"/>
    </font>
    <font>
      <b/>
      <sz val="12"/>
      <name val="Arial"/>
      <family val="0"/>
    </font>
    <font>
      <b/>
      <sz val="10"/>
      <name val="Arial"/>
      <family val="0"/>
    </font>
    <font>
      <i/>
      <sz val="8"/>
      <name val="Tahoma"/>
      <family val="2"/>
    </font>
    <font>
      <i/>
      <sz val="8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6"/>
      <name val="Arial"/>
      <family val="0"/>
    </font>
    <font>
      <sz val="11"/>
      <name val="Bauhaus 93"/>
      <family val="5"/>
    </font>
    <font>
      <sz val="14"/>
      <name val="Bauhaus 93"/>
      <family val="5"/>
    </font>
    <font>
      <i/>
      <sz val="11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5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mediumGray">
        <bgColor indexed="37"/>
      </patternFill>
    </fill>
    <fill>
      <patternFill patternType="lightTrellis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1" fillId="2" borderId="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 quotePrefix="1">
      <alignment/>
      <protection locked="0"/>
    </xf>
    <xf numFmtId="0" fontId="9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2" fontId="1" fillId="0" borderId="0" xfId="0" applyNumberFormat="1" applyFont="1" applyAlignment="1" applyProtection="1">
      <alignment shrinkToFit="1"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2" fontId="17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shrinkToFit="1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Pig Bone Fragmentation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% NISP</c:v>
          </c:tx>
          <c:spPr>
            <a:pattFill prst="lgConfetti">
              <a:fgClr>
                <a:srgbClr val="FFFFCC"/>
              </a:fgClr>
              <a:bgClr>
                <a:srgbClr val="000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Calcs'!$A$40:$A$44</c:f>
              <c:strCache>
                <c:ptCount val="5"/>
                <c:pt idx="0">
                  <c:v>&lt;1 cm</c:v>
                </c:pt>
                <c:pt idx="1">
                  <c:v>1-2 cm</c:v>
                </c:pt>
                <c:pt idx="2">
                  <c:v>2-5 cm</c:v>
                </c:pt>
                <c:pt idx="3">
                  <c:v>5-10 cm</c:v>
                </c:pt>
                <c:pt idx="4">
                  <c:v>&gt;10 cm</c:v>
                </c:pt>
              </c:strCache>
            </c:strRef>
          </c:cat>
          <c:val>
            <c:numRef>
              <c:f>'Entry &amp; Calcs'!$C$40:$C$44</c:f>
              <c:numCache>
                <c:ptCount val="5"/>
                <c:pt idx="0">
                  <c:v>0</c:v>
                </c:pt>
                <c:pt idx="1">
                  <c:v>17.647058823529413</c:v>
                </c:pt>
                <c:pt idx="2">
                  <c:v>17.647058823529413</c:v>
                </c:pt>
                <c:pt idx="3">
                  <c:v>64.70588235294117</c:v>
                </c:pt>
                <c:pt idx="4">
                  <c:v>0</c:v>
                </c:pt>
              </c:numCache>
            </c:numRef>
          </c:val>
        </c:ser>
        <c:axId val="7596096"/>
        <c:axId val="1256001"/>
      </c:barChart>
      <c:catAx>
        <c:axId val="7596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fragment size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6001"/>
        <c:crosses val="autoZero"/>
        <c:auto val="1"/>
        <c:lblOffset val="100"/>
        <c:noMultiLvlLbl val="0"/>
      </c:catAx>
      <c:valAx>
        <c:axId val="125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NISP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596096"/>
        <c:crossesAt val="1"/>
        <c:crossBetween val="between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Pig Bone 
MAU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'Entry &amp; Calcs'!$F$53</c:f>
              <c:strCache>
                <c:ptCount val="1"/>
                <c:pt idx="0">
                  <c:v>MAU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Calcs'!$F$54:$F$75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</c:v>
                </c:pt>
                <c:pt idx="14">
                  <c:v>0.5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0.125</c:v>
                </c:pt>
              </c:numCache>
            </c:numRef>
          </c:val>
        </c:ser>
        <c:axId val="32789786"/>
        <c:axId val="26672619"/>
      </c:barChart>
      <c:catAx>
        <c:axId val="32789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72619"/>
        <c:crosses val="autoZero"/>
        <c:auto val="1"/>
        <c:lblOffset val="100"/>
        <c:tickLblSkip val="1"/>
        <c:noMultiLvlLbl val="0"/>
      </c:catAx>
      <c:valAx>
        <c:axId val="26672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MAU (NISP/Number of elements in skeleton)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8978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Pig Bone %MNI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tx>
            <c:strRef>
              <c:f>'Entry &amp; Calcs'!$H$53</c:f>
              <c:strCache>
                <c:ptCount val="1"/>
                <c:pt idx="0">
                  <c:v>%MNI</c:v>
                </c:pt>
              </c:strCache>
            </c:strRef>
          </c:tx>
          <c:spPr>
            <a:pattFill prst="smCheck">
              <a:fgClr>
                <a:srgbClr val="FF66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Calcs'!$H$54:$H$75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71.42857142857143</c:v>
                </c:pt>
                <c:pt idx="9">
                  <c:v>28.57142857142857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14.285714285714285</c:v>
                </c:pt>
                <c:pt idx="14">
                  <c:v>14.285714285714285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3.571428571428571</c:v>
                </c:pt>
              </c:numCache>
            </c:numRef>
          </c:val>
        </c:ser>
        <c:axId val="38726980"/>
        <c:axId val="12998501"/>
      </c:barChart>
      <c:catAx>
        <c:axId val="38726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998501"/>
        <c:crosses val="autoZero"/>
        <c:auto val="1"/>
        <c:lblOffset val="100"/>
        <c:tickLblSkip val="1"/>
        <c:noMultiLvlLbl val="0"/>
      </c:catAx>
      <c:valAx>
        <c:axId val="1299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MNI (maximum MAU)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26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Pig Bone % MAU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'Entry &amp; Calcs'!$G$53</c:f>
              <c:strCache>
                <c:ptCount val="1"/>
                <c:pt idx="0">
                  <c:v>% MAU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Calcs'!$G$54:$G$75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54.054054054054056</c:v>
                </c:pt>
                <c:pt idx="9">
                  <c:v>21.62162162162162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10.81081081081081</c:v>
                </c:pt>
                <c:pt idx="14">
                  <c:v>10.81081081081081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2.7027027027027026</c:v>
                </c:pt>
              </c:numCache>
            </c:numRef>
          </c:val>
        </c:ser>
        <c:axId val="49877646"/>
        <c:axId val="46245631"/>
      </c:barChart>
      <c:catAx>
        <c:axId val="49877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245631"/>
        <c:crosses val="autoZero"/>
        <c:auto val="1"/>
        <c:lblOffset val="100"/>
        <c:tickLblSkip val="1"/>
        <c:noMultiLvlLbl val="0"/>
      </c:catAx>
      <c:valAx>
        <c:axId val="46245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% of total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77646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Tjarnargata 3 c Pig Bone MAU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MAU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Calcs'!$AE$3:$AE$81</c:f>
              <c:strCache>
                <c:ptCount val="79"/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FibW</c:v>
                </c:pt>
                <c:pt idx="73">
                  <c:v>FibP</c:v>
                </c:pt>
                <c:pt idx="74">
                  <c:v>FibD</c:v>
                </c:pt>
                <c:pt idx="75">
                  <c:v>FibS</c:v>
                </c:pt>
                <c:pt idx="76">
                  <c:v>StnC</c:v>
                </c:pt>
                <c:pt idx="77">
                  <c:v>StnB</c:v>
                </c:pt>
                <c:pt idx="78">
                  <c:v>Ses</c:v>
                </c:pt>
              </c:strCache>
            </c:strRef>
          </c:cat>
          <c:val>
            <c:numRef>
              <c:f>'Entry &amp; Calcs'!$AG$3:$AG$81</c:f>
              <c:numCache>
                <c:ptCount val="7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0.1875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2.5</c:v>
                </c:pt>
                <c:pt idx="65">
                  <c:v>1</c:v>
                </c:pt>
                <c:pt idx="66">
                  <c:v>3.5</c:v>
                </c:pt>
                <c:pt idx="67">
                  <c:v>0</c:v>
                </c:pt>
                <c:pt idx="68">
                  <c:v>0</c:v>
                </c:pt>
                <c:pt idx="69">
                  <c:v>0.5</c:v>
                </c:pt>
                <c:pt idx="70">
                  <c:v>0.5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</c:ser>
        <c:axId val="11304010"/>
        <c:axId val="34627227"/>
      </c:barChart>
      <c:catAx>
        <c:axId val="1130401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34627227"/>
        <c:crosses val="autoZero"/>
        <c:auto val="1"/>
        <c:lblOffset val="100"/>
        <c:tickLblSkip val="1"/>
        <c:noMultiLvlLbl val="0"/>
      </c:catAx>
      <c:valAx>
        <c:axId val="346272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304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Tjarnargata 3 c Pig Bone % MNI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8"/>
          <c:order val="0"/>
          <c:tx>
            <c:v>% MNI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Calcs'!$AE$3:$AE$81</c:f>
              <c:strCache>
                <c:ptCount val="79"/>
                <c:pt idx="1">
                  <c:v>CalC</c:v>
                </c:pt>
                <c:pt idx="2">
                  <c:v>CalB</c:v>
                </c:pt>
                <c:pt idx="3">
                  <c:v>PMx</c:v>
                </c:pt>
                <c:pt idx="4">
                  <c:v>MxC</c:v>
                </c:pt>
                <c:pt idx="5">
                  <c:v>MxB</c:v>
                </c:pt>
                <c:pt idx="6">
                  <c:v>Mn</c:v>
                </c:pt>
                <c:pt idx="7">
                  <c:v>Hy</c:v>
                </c:pt>
                <c:pt idx="8">
                  <c:v>In</c:v>
                </c:pt>
                <c:pt idx="9">
                  <c:v>Cn</c:v>
                </c:pt>
                <c:pt idx="10">
                  <c:v>PM</c:v>
                </c:pt>
                <c:pt idx="11">
                  <c:v>Mo</c:v>
                </c:pt>
                <c:pt idx="12">
                  <c:v>Tfrg</c:v>
                </c:pt>
                <c:pt idx="13">
                  <c:v>At</c:v>
                </c:pt>
                <c:pt idx="14">
                  <c:v>Ax</c:v>
                </c:pt>
                <c:pt idx="15">
                  <c:v>Cvo</c:v>
                </c:pt>
                <c:pt idx="16">
                  <c:v>Th</c:v>
                </c:pt>
                <c:pt idx="17">
                  <c:v>Lum</c:v>
                </c:pt>
                <c:pt idx="18">
                  <c:v>Sac</c:v>
                </c:pt>
                <c:pt idx="19">
                  <c:v>Cdl</c:v>
                </c:pt>
                <c:pt idx="20">
                  <c:v>Inm</c:v>
                </c:pt>
                <c:pt idx="21">
                  <c:v>Rib</c:v>
                </c:pt>
                <c:pt idx="22">
                  <c:v>Sc</c:v>
                </c:pt>
                <c:pt idx="23">
                  <c:v>HuW</c:v>
                </c:pt>
                <c:pt idx="24">
                  <c:v>HuP</c:v>
                </c:pt>
                <c:pt idx="25">
                  <c:v>HuD</c:v>
                </c:pt>
                <c:pt idx="26">
                  <c:v>HuS</c:v>
                </c:pt>
                <c:pt idx="27">
                  <c:v>RaW</c:v>
                </c:pt>
                <c:pt idx="28">
                  <c:v>RaP</c:v>
                </c:pt>
                <c:pt idx="29">
                  <c:v>RaD</c:v>
                </c:pt>
                <c:pt idx="30">
                  <c:v>RaS</c:v>
                </c:pt>
                <c:pt idx="31">
                  <c:v>UlW</c:v>
                </c:pt>
                <c:pt idx="32">
                  <c:v>UlP</c:v>
                </c:pt>
                <c:pt idx="33">
                  <c:v>UlD</c:v>
                </c:pt>
                <c:pt idx="34">
                  <c:v>Car</c:v>
                </c:pt>
                <c:pt idx="35">
                  <c:v>McW</c:v>
                </c:pt>
                <c:pt idx="36">
                  <c:v>McP</c:v>
                </c:pt>
                <c:pt idx="37">
                  <c:v>McD</c:v>
                </c:pt>
                <c:pt idx="38">
                  <c:v>McS</c:v>
                </c:pt>
                <c:pt idx="39">
                  <c:v>Ast</c:v>
                </c:pt>
                <c:pt idx="40">
                  <c:v>Clc</c:v>
                </c:pt>
                <c:pt idx="41">
                  <c:v>NvC</c:v>
                </c:pt>
                <c:pt idx="42">
                  <c:v>TarO</c:v>
                </c:pt>
                <c:pt idx="43">
                  <c:v>MtW</c:v>
                </c:pt>
                <c:pt idx="44">
                  <c:v>MtP</c:v>
                </c:pt>
                <c:pt idx="45">
                  <c:v>MtD</c:v>
                </c:pt>
                <c:pt idx="46">
                  <c:v>MtS</c:v>
                </c:pt>
                <c:pt idx="47">
                  <c:v>MpW</c:v>
                </c:pt>
                <c:pt idx="48">
                  <c:v>MpP</c:v>
                </c:pt>
                <c:pt idx="49">
                  <c:v>MpD</c:v>
                </c:pt>
                <c:pt idx="50">
                  <c:v>MpS</c:v>
                </c:pt>
                <c:pt idx="51">
                  <c:v>P1W</c:v>
                </c:pt>
                <c:pt idx="52">
                  <c:v>P1P</c:v>
                </c:pt>
                <c:pt idx="53">
                  <c:v>P1D</c:v>
                </c:pt>
                <c:pt idx="54">
                  <c:v>P1S</c:v>
                </c:pt>
                <c:pt idx="55">
                  <c:v>P2W</c:v>
                </c:pt>
                <c:pt idx="56">
                  <c:v>P2P</c:v>
                </c:pt>
                <c:pt idx="57">
                  <c:v>P2D</c:v>
                </c:pt>
                <c:pt idx="58">
                  <c:v>P2S</c:v>
                </c:pt>
                <c:pt idx="59">
                  <c:v>P3W</c:v>
                </c:pt>
                <c:pt idx="60">
                  <c:v>P3P</c:v>
                </c:pt>
                <c:pt idx="61">
                  <c:v>P3D</c:v>
                </c:pt>
                <c:pt idx="62">
                  <c:v>Pfrg</c:v>
                </c:pt>
                <c:pt idx="63">
                  <c:v>FeW</c:v>
                </c:pt>
                <c:pt idx="64">
                  <c:v>FeP</c:v>
                </c:pt>
                <c:pt idx="65">
                  <c:v>FeD</c:v>
                </c:pt>
                <c:pt idx="66">
                  <c:v>FeS</c:v>
                </c:pt>
                <c:pt idx="67">
                  <c:v>Pat</c:v>
                </c:pt>
                <c:pt idx="68">
                  <c:v>TiW</c:v>
                </c:pt>
                <c:pt idx="69">
                  <c:v>TiP</c:v>
                </c:pt>
                <c:pt idx="70">
                  <c:v>TiD</c:v>
                </c:pt>
                <c:pt idx="71">
                  <c:v>TiS</c:v>
                </c:pt>
                <c:pt idx="72">
                  <c:v>FibW</c:v>
                </c:pt>
                <c:pt idx="73">
                  <c:v>FibP</c:v>
                </c:pt>
                <c:pt idx="74">
                  <c:v>FibD</c:v>
                </c:pt>
                <c:pt idx="75">
                  <c:v>FibS</c:v>
                </c:pt>
                <c:pt idx="76">
                  <c:v>StnC</c:v>
                </c:pt>
                <c:pt idx="77">
                  <c:v>StnB</c:v>
                </c:pt>
                <c:pt idx="78">
                  <c:v>Ses</c:v>
                </c:pt>
              </c:strCache>
            </c:strRef>
          </c:cat>
          <c:val>
            <c:numRef>
              <c:f>'Entry &amp; Calcs'!$AX$3:$AX$81</c:f>
              <c:numCache>
                <c:ptCount val="7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5.357142857142857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71.42857142857143</c:v>
                </c:pt>
                <c:pt idx="65">
                  <c:v>28.57142857142857</c:v>
                </c:pt>
                <c:pt idx="66">
                  <c:v>100</c:v>
                </c:pt>
                <c:pt idx="67">
                  <c:v>0</c:v>
                </c:pt>
                <c:pt idx="68">
                  <c:v>0</c:v>
                </c:pt>
                <c:pt idx="69">
                  <c:v>14.285714285714285</c:v>
                </c:pt>
                <c:pt idx="70">
                  <c:v>14.285714285714285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</c:ser>
        <c:axId val="43209588"/>
        <c:axId val="53341973"/>
      </c:barChart>
      <c:catAx>
        <c:axId val="4320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341973"/>
        <c:crosses val="autoZero"/>
        <c:auto val="1"/>
        <c:lblOffset val="100"/>
        <c:tickLblSkip val="1"/>
        <c:noMultiLvlLbl val="0"/>
      </c:catAx>
      <c:valAx>
        <c:axId val="53341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95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Pig Bone Element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0C0C0C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Calcs'!$A$54:$A$61</c:f>
              <c:strCache>
                <c:ptCount val="8"/>
                <c:pt idx="0">
                  <c:v>All Cranial</c:v>
                </c:pt>
                <c:pt idx="1">
                  <c:v>Mandible</c:v>
                </c:pt>
                <c:pt idx="2">
                  <c:v>Forequarter</c:v>
                </c:pt>
                <c:pt idx="3">
                  <c:v>Vert &amp; Ribs</c:v>
                </c:pt>
                <c:pt idx="4">
                  <c:v>Hindquarter</c:v>
                </c:pt>
                <c:pt idx="5">
                  <c:v>Lower Forelimb</c:v>
                </c:pt>
                <c:pt idx="6">
                  <c:v>Lower Hindlimb</c:v>
                </c:pt>
                <c:pt idx="7">
                  <c:v>Feet</c:v>
                </c:pt>
              </c:strCache>
            </c:strRef>
          </c:cat>
          <c:val>
            <c:numRef>
              <c:f>'Entry &amp; Calcs'!$C$54:$C$61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97.70992366412213</c:v>
                </c:pt>
                <c:pt idx="5">
                  <c:v>0</c:v>
                </c:pt>
                <c:pt idx="6">
                  <c:v>0</c:v>
                </c:pt>
                <c:pt idx="7">
                  <c:v>2.2900763358778624</c:v>
                </c:pt>
              </c:numCache>
            </c:numRef>
          </c:val>
        </c:ser>
        <c:axId val="10315710"/>
        <c:axId val="25732527"/>
      </c:barChart>
      <c:catAx>
        <c:axId val="10315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32527"/>
        <c:crosses val="autoZero"/>
        <c:auto val="1"/>
        <c:lblOffset val="100"/>
        <c:noMultiLvlLbl val="0"/>
      </c:catAx>
      <c:valAx>
        <c:axId val="25732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3157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Tjarnargata 3 c Pig Bone 
%MAU of Ranked Bone Density</a:t>
            </a:r>
          </a:p>
        </c:rich>
      </c:tx>
      <c:layout>
        <c:manualLayout>
          <c:xMode val="factor"/>
          <c:yMode val="factor"/>
          <c:x val="-0.003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925"/>
          <c:w val="0.98075"/>
          <c:h val="0.808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'Entry &amp; Calcs'!$E$45</c:f>
              <c:strCache>
                <c:ptCount val="1"/>
                <c:pt idx="0">
                  <c:v>%MAU</c:v>
                </c:pt>
              </c:strCache>
            </c:strRef>
          </c:tx>
          <c:spPr>
            <a:pattFill prst="pct90">
              <a:fgClr>
                <a:srgbClr val="9933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'Entry &amp; Calcs'!$D$31:$D$34</c:f>
              <c:strCache>
                <c:ptCount val="4"/>
                <c:pt idx="0">
                  <c:v>Most dense (1st)</c:v>
                </c:pt>
                <c:pt idx="1">
                  <c:v>Dense (2nd)</c:v>
                </c:pt>
                <c:pt idx="2">
                  <c:v>Less dense (3rd)</c:v>
                </c:pt>
                <c:pt idx="3">
                  <c:v>Least dense (4th)</c:v>
                </c:pt>
              </c:strCache>
            </c:strRef>
          </c:cat>
          <c:val>
            <c:numRef>
              <c:f>'Entry &amp; Calcs'!$E$46:$E$49</c:f>
              <c:numCache>
                <c:ptCount val="4"/>
                <c:pt idx="0">
                  <c:v>7.8142771124640396</c:v>
                </c:pt>
                <c:pt idx="1">
                  <c:v>34.5219776543788</c:v>
                </c:pt>
                <c:pt idx="2">
                  <c:v>56.038000936642796</c:v>
                </c:pt>
                <c:pt idx="3">
                  <c:v>1.6257442965143507</c:v>
                </c:pt>
              </c:numCache>
            </c:numRef>
          </c:val>
        </c:ser>
        <c:axId val="30266152"/>
        <c:axId val="3959913"/>
      </c:barChart>
      <c:catAx>
        <c:axId val="3026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Binford et al.  1977, Speth 1983, Bone Density Ranked By Quartile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9913"/>
        <c:crosses val="autoZero"/>
        <c:auto val="1"/>
        <c:lblOffset val="100"/>
        <c:noMultiLvlLbl val="0"/>
      </c:catAx>
      <c:valAx>
        <c:axId val="395991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02661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Pig Bone  Density and MGUI Ranking Compared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'Entry &amp; Calcs'!$D$46</c:f>
              <c:strCache>
                <c:ptCount val="1"/>
                <c:pt idx="0">
                  <c:v>1st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Calcs'!$E$46:$F$46</c:f>
              <c:numCache>
                <c:ptCount val="2"/>
                <c:pt idx="0">
                  <c:v>7.8142771124640396</c:v>
                </c:pt>
                <c:pt idx="1">
                  <c:v>99.66083594545688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'Entry &amp; Calcs'!$D$47</c:f>
              <c:strCache>
                <c:ptCount val="1"/>
                <c:pt idx="0">
                  <c:v>2nd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Calcs'!$E$47:$F$47</c:f>
              <c:numCache>
                <c:ptCount val="2"/>
                <c:pt idx="0">
                  <c:v>34.5219776543788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'Entry &amp; Calcs'!$D$48</c:f>
              <c:strCache>
                <c:ptCount val="1"/>
                <c:pt idx="0">
                  <c:v>3rd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Calcs'!$E$48:$F$48</c:f>
              <c:numCache>
                <c:ptCount val="2"/>
                <c:pt idx="0">
                  <c:v>56.038000936642796</c:v>
                </c:pt>
                <c:pt idx="1">
                  <c:v>0.3391640545431174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'Entry &amp; Calcs'!$D$49</c:f>
              <c:strCache>
                <c:ptCount val="1"/>
                <c:pt idx="0">
                  <c:v>4th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'Entry &amp; Calcs'!$E$44:$F$44</c:f>
              <c:strCache>
                <c:ptCount val="2"/>
                <c:pt idx="0">
                  <c:v>density</c:v>
                </c:pt>
                <c:pt idx="1">
                  <c:v>MGUI</c:v>
                </c:pt>
              </c:strCache>
            </c:strRef>
          </c:cat>
          <c:val>
            <c:numRef>
              <c:f>'Entry &amp; Calcs'!$E$49:$F$49</c:f>
              <c:numCache>
                <c:ptCount val="2"/>
                <c:pt idx="0">
                  <c:v>1.6257442965143507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35639218"/>
        <c:axId val="52317507"/>
      </c:bar3DChart>
      <c:catAx>
        <c:axId val="35639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2317507"/>
        <c:crosses val="autoZero"/>
        <c:auto val="1"/>
        <c:lblOffset val="100"/>
        <c:noMultiLvlLbl val="0"/>
      </c:catAx>
      <c:valAx>
        <c:axId val="52317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 by 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639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Pig Bone MGUI Quartile Rank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8"/>
          <c:w val="0.946"/>
          <c:h val="0.78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'Entry &amp; Calcs'!$F$44</c:f>
              <c:strCache>
                <c:ptCount val="1"/>
                <c:pt idx="0">
                  <c:v>MGUI</c:v>
                </c:pt>
              </c:strCache>
            </c:strRef>
          </c:tx>
          <c:spPr>
            <a:pattFill prst="dashHorz">
              <a:fgClr>
                <a:srgbClr val="FF6600"/>
              </a:fgClr>
              <a:bgClr>
                <a:srgbClr val="00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'Entry &amp; Calcs'!$D$46:$D$49</c:f>
              <c:strCache>
                <c:ptCount val="4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</c:strCache>
            </c:strRef>
          </c:cat>
          <c:val>
            <c:numRef>
              <c:f>'Entry &amp; Calcs'!$F$46:$F$49</c:f>
              <c:numCache>
                <c:ptCount val="4"/>
                <c:pt idx="0">
                  <c:v>99.66083594545688</c:v>
                </c:pt>
                <c:pt idx="1">
                  <c:v>0</c:v>
                </c:pt>
                <c:pt idx="2">
                  <c:v>0.3391640545431174</c:v>
                </c:pt>
                <c:pt idx="3">
                  <c:v>0</c:v>
                </c:pt>
              </c:numCache>
            </c:numRef>
          </c:val>
        </c:ser>
        <c:axId val="1095516"/>
        <c:axId val="9859645"/>
      </c:barChart>
      <c:catAx>
        <c:axId val="1095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Highest  (rich)  to Least (poor)   MGUI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59645"/>
        <c:crosses val="autoZero"/>
        <c:auto val="1"/>
        <c:lblOffset val="100"/>
        <c:noMultiLvlLbl val="0"/>
      </c:catAx>
      <c:valAx>
        <c:axId val="9859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MAU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95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Tjarnargata 3 c Pig Bone Burning
% NISP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Calcs'!$A$73:$A$78</c:f>
              <c:strCache>
                <c:ptCount val="6"/>
                <c:pt idx="0">
                  <c:v>White calcined</c:v>
                </c:pt>
                <c:pt idx="1">
                  <c:v>Black charred</c:v>
                </c:pt>
                <c:pt idx="2">
                  <c:v>Spotted scorched</c:v>
                </c:pt>
                <c:pt idx="3">
                  <c:v>Unburned</c:v>
                </c:pt>
              </c:strCache>
            </c:strRef>
          </c:cat>
          <c:val>
            <c:numRef>
              <c:f>'Entry &amp; Calcs'!$C$73:$C$78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5.263157894736842</c:v>
                </c:pt>
                <c:pt idx="3">
                  <c:v>94.73684210526315</c:v>
                </c:pt>
              </c:numCache>
            </c:numRef>
          </c:val>
        </c:ser>
        <c:axId val="21627942"/>
        <c:axId val="60433751"/>
      </c:barChart>
      <c:catAx>
        <c:axId val="2162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33751"/>
        <c:crosses val="autoZero"/>
        <c:auto val="1"/>
        <c:lblOffset val="100"/>
        <c:noMultiLvlLbl val="0"/>
      </c:catAx>
      <c:valAx>
        <c:axId val="6043375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16279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Tjarnargata 3 c Pig Bone NISP COUNT OF SELECTED ELEMENTS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'Entry &amp; Calcs'!$E$53</c:f>
              <c:strCache>
                <c:ptCount val="1"/>
                <c:pt idx="0">
                  <c:v>NISP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755E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'Entry &amp; Calcs'!$D$54:$D$75</c:f>
              <c:strCache>
                <c:ptCount val="22"/>
                <c:pt idx="0">
                  <c:v>Horn Core</c:v>
                </c:pt>
                <c:pt idx="1">
                  <c:v>Mandible</c:v>
                </c:pt>
                <c:pt idx="2">
                  <c:v>Atlas</c:v>
                </c:pt>
                <c:pt idx="3">
                  <c:v>Axis</c:v>
                </c:pt>
                <c:pt idx="4">
                  <c:v>Scapula</c:v>
                </c:pt>
                <c:pt idx="5">
                  <c:v>Pelvis</c:v>
                </c:pt>
                <c:pt idx="6">
                  <c:v>Hum Pro</c:v>
                </c:pt>
                <c:pt idx="7">
                  <c:v>Hum Dis</c:v>
                </c:pt>
                <c:pt idx="8">
                  <c:v>Fem Pro</c:v>
                </c:pt>
                <c:pt idx="9">
                  <c:v>Fem Dis</c:v>
                </c:pt>
                <c:pt idx="10">
                  <c:v>Ulna</c:v>
                </c:pt>
                <c:pt idx="11">
                  <c:v>Rad Pro</c:v>
                </c:pt>
                <c:pt idx="12">
                  <c:v>Rad Dis</c:v>
                </c:pt>
                <c:pt idx="13">
                  <c:v>Tib Pro</c:v>
                </c:pt>
                <c:pt idx="14">
                  <c:v>Tib Dis</c:v>
                </c:pt>
                <c:pt idx="15">
                  <c:v>Calc</c:v>
                </c:pt>
                <c:pt idx="16">
                  <c:v>Astrag</c:v>
                </c:pt>
                <c:pt idx="17">
                  <c:v>Mtc Pro</c:v>
                </c:pt>
                <c:pt idx="18">
                  <c:v>Mtc Dis</c:v>
                </c:pt>
                <c:pt idx="19">
                  <c:v>Mtt Pro</c:v>
                </c:pt>
                <c:pt idx="20">
                  <c:v>Mtt Dis</c:v>
                </c:pt>
                <c:pt idx="21">
                  <c:v>Phalanges</c:v>
                </c:pt>
              </c:strCache>
            </c:strRef>
          </c:cat>
          <c:val>
            <c:numRef>
              <c:f>'Entry &amp; Calcs'!$E$54:$E$75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</c:numCache>
            </c:numRef>
          </c:val>
        </c:ser>
        <c:axId val="7032848"/>
        <c:axId val="63295633"/>
      </c:barChart>
      <c:catAx>
        <c:axId val="703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95633"/>
        <c:crosses val="autoZero"/>
        <c:auto val="1"/>
        <c:lblOffset val="100"/>
        <c:tickLblSkip val="1"/>
        <c:noMultiLvlLbl val="0"/>
      </c:catAx>
      <c:valAx>
        <c:axId val="63295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NISP 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32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60" verticalDpi="36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oleObject" Target="../embeddings/oleObject_12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85"/>
  <sheetViews>
    <sheetView tabSelected="1" workbookViewId="0" topLeftCell="A1">
      <selection activeCell="A6" sqref="A6"/>
    </sheetView>
  </sheetViews>
  <sheetFormatPr defaultColWidth="9.140625" defaultRowHeight="12.75"/>
  <cols>
    <col min="1" max="1" width="25.28125" style="14" customWidth="1"/>
    <col min="2" max="2" width="16.28125" style="49" customWidth="1"/>
    <col min="3" max="3" width="20.57421875" style="49" customWidth="1"/>
    <col min="4" max="4" width="17.28125" style="14" customWidth="1"/>
    <col min="5" max="5" width="11.00390625" style="14" customWidth="1"/>
    <col min="6" max="7" width="9.140625" style="14" customWidth="1"/>
    <col min="8" max="8" width="7.57421875" style="15" customWidth="1"/>
    <col min="9" max="9" width="2.7109375" style="14" customWidth="1"/>
    <col min="10" max="10" width="3.140625" style="14" customWidth="1"/>
    <col min="11" max="11" width="10.00390625" style="14" customWidth="1"/>
    <col min="12" max="12" width="7.140625" style="15" customWidth="1"/>
    <col min="13" max="13" width="20.421875" style="14" customWidth="1"/>
    <col min="14" max="14" width="7.421875" style="14" customWidth="1"/>
    <col min="15" max="15" width="6.140625" style="14" customWidth="1"/>
    <col min="16" max="16" width="6.8515625" style="14" customWidth="1"/>
    <col min="17" max="17" width="8.8515625" style="14" customWidth="1"/>
    <col min="18" max="24" width="9.140625" style="14" customWidth="1"/>
    <col min="25" max="28" width="5.7109375" style="14" customWidth="1"/>
    <col min="29" max="29" width="5.8515625" style="14" customWidth="1"/>
    <col min="30" max="30" width="4.8515625" style="1" customWidth="1"/>
    <col min="31" max="32" width="12.57421875" style="1" customWidth="1"/>
    <col min="33" max="33" width="10.8515625" style="3" customWidth="1"/>
    <col min="34" max="34" width="12.57421875" style="3" customWidth="1"/>
    <col min="35" max="35" width="12.57421875" style="8" customWidth="1"/>
    <col min="36" max="40" width="13.140625" style="1" customWidth="1"/>
    <col min="41" max="41" width="12.57421875" style="3" customWidth="1"/>
    <col min="42" max="42" width="13.8515625" style="3" customWidth="1"/>
    <col min="43" max="47" width="13.8515625" style="1" customWidth="1"/>
    <col min="50" max="51" width="12.57421875" style="3" customWidth="1"/>
    <col min="52" max="52" width="3.57421875" style="0" customWidth="1"/>
    <col min="53" max="53" width="24.140625" style="1" customWidth="1"/>
    <col min="54" max="54" width="20.28125" style="1" customWidth="1"/>
    <col min="55" max="16384" width="9.140625" style="1" customWidth="1"/>
  </cols>
  <sheetData>
    <row r="1" spans="1:47" ht="46.5">
      <c r="A1" s="12" t="s">
        <v>206</v>
      </c>
      <c r="B1" s="41"/>
      <c r="C1" s="41"/>
      <c r="D1" s="13"/>
      <c r="E1" s="19" t="s">
        <v>346</v>
      </c>
      <c r="I1" s="16"/>
      <c r="J1" s="16"/>
      <c r="K1" s="17"/>
      <c r="M1" s="18" t="s">
        <v>309</v>
      </c>
      <c r="O1" s="14" t="s">
        <v>162</v>
      </c>
      <c r="Q1" s="14" t="s">
        <v>163</v>
      </c>
      <c r="U1" s="14" t="s">
        <v>164</v>
      </c>
      <c r="Y1" s="14" t="s">
        <v>166</v>
      </c>
      <c r="AD1" s="6"/>
      <c r="AE1" s="11"/>
      <c r="AF1" s="1" t="s">
        <v>173</v>
      </c>
      <c r="AG1" s="3" t="s">
        <v>174</v>
      </c>
      <c r="AH1" s="3" t="s">
        <v>303</v>
      </c>
      <c r="AJ1" s="1" t="s">
        <v>175</v>
      </c>
      <c r="AK1" s="1" t="s">
        <v>263</v>
      </c>
      <c r="AL1" s="1" t="s">
        <v>264</v>
      </c>
      <c r="AM1" s="1" t="s">
        <v>266</v>
      </c>
      <c r="AN1" s="1" t="s">
        <v>271</v>
      </c>
      <c r="AO1" s="3" t="s">
        <v>304</v>
      </c>
      <c r="AR1" s="1" t="s">
        <v>292</v>
      </c>
      <c r="AS1" s="1" t="s">
        <v>293</v>
      </c>
      <c r="AT1" s="1" t="s">
        <v>294</v>
      </c>
      <c r="AU1" s="1" t="s">
        <v>295</v>
      </c>
    </row>
    <row r="2" spans="1:52" ht="15">
      <c r="A2" s="19" t="s">
        <v>252</v>
      </c>
      <c r="B2" s="31" t="s">
        <v>348</v>
      </c>
      <c r="C2" s="38"/>
      <c r="E2" s="14" t="s">
        <v>306</v>
      </c>
      <c r="K2" s="17"/>
      <c r="L2" s="21" t="s">
        <v>0</v>
      </c>
      <c r="M2" s="14" t="s">
        <v>1</v>
      </c>
      <c r="N2" s="14" t="s">
        <v>2</v>
      </c>
      <c r="O2" s="14" t="s">
        <v>3</v>
      </c>
      <c r="P2" s="14" t="s">
        <v>4</v>
      </c>
      <c r="Q2" s="14" t="s">
        <v>5</v>
      </c>
      <c r="R2" s="14" t="s">
        <v>157</v>
      </c>
      <c r="S2" s="14" t="s">
        <v>158</v>
      </c>
      <c r="T2" s="14" t="s">
        <v>159</v>
      </c>
      <c r="U2" s="14" t="s">
        <v>160</v>
      </c>
      <c r="V2" s="14" t="s">
        <v>161</v>
      </c>
      <c r="W2" s="14" t="s">
        <v>225</v>
      </c>
      <c r="X2" s="14" t="s">
        <v>165</v>
      </c>
      <c r="Y2" s="22" t="s">
        <v>167</v>
      </c>
      <c r="Z2" s="22" t="s">
        <v>168</v>
      </c>
      <c r="AA2" s="22" t="s">
        <v>169</v>
      </c>
      <c r="AB2" s="22" t="s">
        <v>170</v>
      </c>
      <c r="AC2" s="14" t="s">
        <v>328</v>
      </c>
      <c r="AD2" s="6"/>
      <c r="AE2" s="1" t="s">
        <v>272</v>
      </c>
      <c r="AF2" s="1" t="s">
        <v>307</v>
      </c>
      <c r="AG2" s="3" t="s">
        <v>308</v>
      </c>
      <c r="AH2" s="3" t="s">
        <v>228</v>
      </c>
      <c r="AI2" s="8" t="s">
        <v>79</v>
      </c>
      <c r="AJ2" s="1" t="s">
        <v>80</v>
      </c>
      <c r="AK2" s="1" t="s">
        <v>267</v>
      </c>
      <c r="AL2" s="1" t="s">
        <v>270</v>
      </c>
      <c r="AM2" s="1" t="s">
        <v>269</v>
      </c>
      <c r="AN2" s="1" t="s">
        <v>268</v>
      </c>
      <c r="AO2" s="3" t="s">
        <v>81</v>
      </c>
      <c r="AP2" s="3" t="s">
        <v>229</v>
      </c>
      <c r="AQ2" s="1" t="s">
        <v>82</v>
      </c>
      <c r="AR2" s="1" t="s">
        <v>296</v>
      </c>
      <c r="AS2" s="1" t="s">
        <v>297</v>
      </c>
      <c r="AT2" s="1" t="s">
        <v>298</v>
      </c>
      <c r="AU2" s="1" t="s">
        <v>299</v>
      </c>
      <c r="AX2" s="3" t="s">
        <v>83</v>
      </c>
      <c r="AY2" s="3" t="s">
        <v>227</v>
      </c>
      <c r="AZ2" s="5"/>
    </row>
    <row r="3" spans="1:52" ht="20.25">
      <c r="A3" s="56" t="s">
        <v>184</v>
      </c>
      <c r="B3" s="57" t="s">
        <v>349</v>
      </c>
      <c r="C3" s="42"/>
      <c r="D3" s="15" t="s">
        <v>253</v>
      </c>
      <c r="E3" s="15" t="s">
        <v>347</v>
      </c>
      <c r="F3" s="15"/>
      <c r="G3" s="15"/>
      <c r="K3" s="17"/>
      <c r="L3" s="24">
        <v>1</v>
      </c>
      <c r="AD3" s="6"/>
      <c r="AN3" s="3"/>
      <c r="AU3" s="3"/>
      <c r="AZ3" s="5"/>
    </row>
    <row r="4" spans="1:52" ht="14.25">
      <c r="A4" s="17"/>
      <c r="B4" s="43"/>
      <c r="C4" s="43"/>
      <c r="D4" s="17"/>
      <c r="E4" s="17"/>
      <c r="F4" s="17"/>
      <c r="G4" s="17"/>
      <c r="H4" s="17"/>
      <c r="I4" s="17"/>
      <c r="J4" s="17"/>
      <c r="K4" s="17"/>
      <c r="L4" s="24">
        <v>2</v>
      </c>
      <c r="M4" s="14" t="s">
        <v>6</v>
      </c>
      <c r="AD4" s="6"/>
      <c r="AE4" s="1" t="s">
        <v>84</v>
      </c>
      <c r="AF4" s="1">
        <v>1</v>
      </c>
      <c r="AG4" s="3">
        <f aca="true" t="shared" si="0" ref="AG4:AG47">N4/AF4</f>
        <v>0</v>
      </c>
      <c r="AH4" s="3">
        <f aca="true" t="shared" si="1" ref="AH4:AH66">AG4*AI4</f>
        <v>0</v>
      </c>
      <c r="AI4" s="8">
        <v>1.49</v>
      </c>
      <c r="AJ4" s="1">
        <v>1</v>
      </c>
      <c r="AK4" s="3">
        <f aca="true" t="shared" si="2" ref="AK4:AK9">SUM(AH4)</f>
        <v>0</v>
      </c>
      <c r="AO4" s="3">
        <v>8.74</v>
      </c>
      <c r="AP4" s="3">
        <f aca="true" t="shared" si="3" ref="AP4:AP10">AG4*AO4</f>
        <v>0</v>
      </c>
      <c r="AQ4" s="1">
        <v>4</v>
      </c>
      <c r="AU4" s="3">
        <f>SUM(AP4)</f>
        <v>0</v>
      </c>
      <c r="AX4" s="3" t="e">
        <f aca="true" t="shared" si="4" ref="AX4:AX34">100*(SUM(AG4)/MNI)</f>
        <v>#DIV/0!</v>
      </c>
      <c r="AY4" s="3" t="e">
        <f aca="true" t="shared" si="5" ref="AY4:AY34">100*(SUM(AG4)/MAUX)</f>
        <v>#DIV/0!</v>
      </c>
      <c r="AZ4" s="5"/>
    </row>
    <row r="5" spans="1:52" ht="18">
      <c r="A5" s="23" t="s">
        <v>185</v>
      </c>
      <c r="B5" s="51"/>
      <c r="C5" s="44"/>
      <c r="D5" s="15"/>
      <c r="E5" s="15"/>
      <c r="F5" s="15"/>
      <c r="G5" s="15"/>
      <c r="I5" s="25"/>
      <c r="J5" s="25"/>
      <c r="K5" s="17"/>
      <c r="L5" s="24">
        <v>3</v>
      </c>
      <c r="M5" s="14" t="s">
        <v>7</v>
      </c>
      <c r="AD5" s="6"/>
      <c r="AE5" s="1" t="s">
        <v>85</v>
      </c>
      <c r="AF5" s="1">
        <v>2</v>
      </c>
      <c r="AG5" s="3">
        <f t="shared" si="0"/>
        <v>0</v>
      </c>
      <c r="AH5" s="3">
        <f t="shared" si="1"/>
        <v>0</v>
      </c>
      <c r="AI5" s="8">
        <v>1.49</v>
      </c>
      <c r="AJ5" s="1">
        <v>1</v>
      </c>
      <c r="AK5" s="3">
        <f t="shared" si="2"/>
        <v>0</v>
      </c>
      <c r="AO5" s="3">
        <v>8.74</v>
      </c>
      <c r="AP5" s="3">
        <f t="shared" si="3"/>
        <v>0</v>
      </c>
      <c r="AQ5" s="1">
        <v>4</v>
      </c>
      <c r="AU5" s="3">
        <f>SUM(AP5)</f>
        <v>0</v>
      </c>
      <c r="AX5" s="3" t="e">
        <f t="shared" si="4"/>
        <v>#DIV/0!</v>
      </c>
      <c r="AY5" s="3" t="e">
        <f t="shared" si="5"/>
        <v>#DIV/0!</v>
      </c>
      <c r="AZ5" s="5"/>
    </row>
    <row r="6" spans="1:52" ht="14.25">
      <c r="A6" s="15" t="s">
        <v>186</v>
      </c>
      <c r="B6" s="55"/>
      <c r="C6" s="42"/>
      <c r="D6" s="15" t="s">
        <v>195</v>
      </c>
      <c r="E6" s="15"/>
      <c r="F6" s="15"/>
      <c r="G6" s="15"/>
      <c r="I6" s="25"/>
      <c r="J6" s="25"/>
      <c r="K6" s="17"/>
      <c r="L6" s="24">
        <v>4</v>
      </c>
      <c r="M6" s="14" t="s">
        <v>8</v>
      </c>
      <c r="AD6" s="6"/>
      <c r="AE6" s="1" t="s">
        <v>86</v>
      </c>
      <c r="AF6" s="1">
        <v>2</v>
      </c>
      <c r="AG6" s="3">
        <f t="shared" si="0"/>
        <v>0</v>
      </c>
      <c r="AH6" s="3">
        <f t="shared" si="1"/>
        <v>0</v>
      </c>
      <c r="AI6" s="8">
        <v>1.49</v>
      </c>
      <c r="AJ6" s="1">
        <v>1</v>
      </c>
      <c r="AK6" s="3">
        <f t="shared" si="2"/>
        <v>0</v>
      </c>
      <c r="AO6" s="3">
        <v>8.74</v>
      </c>
      <c r="AP6" s="3">
        <f t="shared" si="3"/>
        <v>0</v>
      </c>
      <c r="AQ6" s="1">
        <v>4</v>
      </c>
      <c r="AU6" s="3">
        <f>SUM(AP6)</f>
        <v>0</v>
      </c>
      <c r="AX6" s="3" t="e">
        <f t="shared" si="4"/>
        <v>#DIV/0!</v>
      </c>
      <c r="AY6" s="3" t="e">
        <f t="shared" si="5"/>
        <v>#DIV/0!</v>
      </c>
      <c r="AZ6" s="5"/>
    </row>
    <row r="7" spans="1:52" ht="14.25">
      <c r="A7" s="15" t="s">
        <v>187</v>
      </c>
      <c r="B7" s="52"/>
      <c r="C7" s="42"/>
      <c r="D7" s="15" t="s">
        <v>191</v>
      </c>
      <c r="E7" s="15"/>
      <c r="F7" s="15"/>
      <c r="G7" s="15"/>
      <c r="I7" s="25"/>
      <c r="J7" s="25"/>
      <c r="K7" s="17"/>
      <c r="L7" s="24">
        <v>5</v>
      </c>
      <c r="M7" s="14" t="s">
        <v>9</v>
      </c>
      <c r="AD7" s="6"/>
      <c r="AE7" s="1" t="s">
        <v>87</v>
      </c>
      <c r="AF7" s="1">
        <v>1</v>
      </c>
      <c r="AG7" s="3">
        <f t="shared" si="0"/>
        <v>0</v>
      </c>
      <c r="AH7" s="3">
        <f t="shared" si="1"/>
        <v>0</v>
      </c>
      <c r="AI7" s="8">
        <v>1.49</v>
      </c>
      <c r="AJ7" s="1">
        <v>1</v>
      </c>
      <c r="AK7" s="3">
        <f t="shared" si="2"/>
        <v>0</v>
      </c>
      <c r="AO7" s="3">
        <v>8.74</v>
      </c>
      <c r="AP7" s="3">
        <f t="shared" si="3"/>
        <v>0</v>
      </c>
      <c r="AQ7" s="1">
        <v>4</v>
      </c>
      <c r="AU7" s="3">
        <f>SUM(AP7)</f>
        <v>0</v>
      </c>
      <c r="AX7" s="3" t="e">
        <f t="shared" si="4"/>
        <v>#DIV/0!</v>
      </c>
      <c r="AY7" s="3" t="e">
        <f t="shared" si="5"/>
        <v>#DIV/0!</v>
      </c>
      <c r="AZ7" s="5"/>
    </row>
    <row r="8" spans="1:52" ht="14.25">
      <c r="A8" s="15" t="s">
        <v>188</v>
      </c>
      <c r="B8" s="52"/>
      <c r="C8" s="42"/>
      <c r="D8" s="15" t="s">
        <v>192</v>
      </c>
      <c r="E8" s="15"/>
      <c r="F8" s="15"/>
      <c r="G8" s="15"/>
      <c r="I8" s="25"/>
      <c r="J8" s="25"/>
      <c r="K8" s="17"/>
      <c r="L8" s="24">
        <v>6</v>
      </c>
      <c r="M8" s="14" t="s">
        <v>10</v>
      </c>
      <c r="AD8" s="6"/>
      <c r="AE8" s="1" t="s">
        <v>88</v>
      </c>
      <c r="AF8" s="1">
        <v>2</v>
      </c>
      <c r="AG8" s="3">
        <f t="shared" si="0"/>
        <v>0</v>
      </c>
      <c r="AH8" s="3">
        <f t="shared" si="1"/>
        <v>0</v>
      </c>
      <c r="AI8" s="8">
        <v>1.49</v>
      </c>
      <c r="AJ8" s="1">
        <v>1</v>
      </c>
      <c r="AK8" s="3">
        <f t="shared" si="2"/>
        <v>0</v>
      </c>
      <c r="AO8" s="3">
        <v>8.74</v>
      </c>
      <c r="AP8" s="3">
        <f t="shared" si="3"/>
        <v>0</v>
      </c>
      <c r="AQ8" s="1">
        <v>4</v>
      </c>
      <c r="AU8" s="3">
        <f>SUM(AP8)</f>
        <v>0</v>
      </c>
      <c r="AX8" s="3" t="e">
        <f t="shared" si="4"/>
        <v>#DIV/0!</v>
      </c>
      <c r="AY8" s="3" t="e">
        <f t="shared" si="5"/>
        <v>#DIV/0!</v>
      </c>
      <c r="AZ8" s="5"/>
    </row>
    <row r="9" spans="1:52" ht="14.25">
      <c r="A9" s="15" t="s">
        <v>189</v>
      </c>
      <c r="B9" s="42"/>
      <c r="C9" s="42"/>
      <c r="D9" s="15"/>
      <c r="E9" s="15"/>
      <c r="F9" s="15"/>
      <c r="G9" s="15"/>
      <c r="J9" s="25"/>
      <c r="K9" s="17"/>
      <c r="L9" s="24">
        <v>7</v>
      </c>
      <c r="M9" s="14" t="s">
        <v>11</v>
      </c>
      <c r="AD9" s="6"/>
      <c r="AE9" s="1" t="s">
        <v>89</v>
      </c>
      <c r="AF9" s="1">
        <v>2</v>
      </c>
      <c r="AG9" s="3">
        <f t="shared" si="0"/>
        <v>0</v>
      </c>
      <c r="AH9" s="3">
        <f t="shared" si="1"/>
        <v>0</v>
      </c>
      <c r="AI9" s="8">
        <v>1.55</v>
      </c>
      <c r="AJ9" s="1">
        <v>1</v>
      </c>
      <c r="AK9" s="3">
        <f t="shared" si="2"/>
        <v>0</v>
      </c>
      <c r="AO9" s="3">
        <v>13.86</v>
      </c>
      <c r="AP9" s="3">
        <f t="shared" si="3"/>
        <v>0</v>
      </c>
      <c r="AQ9" s="1">
        <v>3</v>
      </c>
      <c r="AT9" s="3">
        <f>SUM(AP9)</f>
        <v>0</v>
      </c>
      <c r="AX9" s="3" t="e">
        <f t="shared" si="4"/>
        <v>#DIV/0!</v>
      </c>
      <c r="AY9" s="3" t="e">
        <f t="shared" si="5"/>
        <v>#DIV/0!</v>
      </c>
      <c r="AZ9" s="5"/>
    </row>
    <row r="10" spans="1:52" ht="14.25">
      <c r="A10" s="15" t="s">
        <v>190</v>
      </c>
      <c r="B10" s="42"/>
      <c r="C10" s="42"/>
      <c r="D10" s="15" t="s">
        <v>205</v>
      </c>
      <c r="E10" s="15"/>
      <c r="F10" s="15"/>
      <c r="G10" s="15"/>
      <c r="I10" s="25"/>
      <c r="J10" s="25"/>
      <c r="K10" s="17"/>
      <c r="L10" s="24">
        <v>8</v>
      </c>
      <c r="M10" s="14" t="s">
        <v>12</v>
      </c>
      <c r="AD10" s="6"/>
      <c r="AE10" s="1" t="s">
        <v>90</v>
      </c>
      <c r="AF10" s="1">
        <v>2</v>
      </c>
      <c r="AG10" s="3">
        <f t="shared" si="0"/>
        <v>0</v>
      </c>
      <c r="AH10" s="3">
        <f t="shared" si="1"/>
        <v>0</v>
      </c>
      <c r="AI10" s="8">
        <v>0.75</v>
      </c>
      <c r="AJ10" s="1">
        <v>4</v>
      </c>
      <c r="AN10" s="3">
        <f>SUM(AH10)</f>
        <v>0</v>
      </c>
      <c r="AO10" s="3">
        <v>16.37</v>
      </c>
      <c r="AP10" s="3">
        <f t="shared" si="3"/>
        <v>0</v>
      </c>
      <c r="AQ10" s="1">
        <v>3</v>
      </c>
      <c r="AT10" s="3">
        <f>SUM(AP10)</f>
        <v>0</v>
      </c>
      <c r="AX10" s="3" t="e">
        <f t="shared" si="4"/>
        <v>#DIV/0!</v>
      </c>
      <c r="AY10" s="3" t="e">
        <f t="shared" si="5"/>
        <v>#DIV/0!</v>
      </c>
      <c r="AZ10" s="5"/>
    </row>
    <row r="11" spans="1:52" ht="14.25">
      <c r="A11" s="15" t="s">
        <v>194</v>
      </c>
      <c r="B11" s="42"/>
      <c r="C11" s="42"/>
      <c r="D11" s="15" t="s">
        <v>193</v>
      </c>
      <c r="E11" s="15"/>
      <c r="F11" s="15"/>
      <c r="G11" s="15"/>
      <c r="J11" s="25"/>
      <c r="K11" s="17"/>
      <c r="L11" s="24">
        <v>9</v>
      </c>
      <c r="M11" s="14" t="s">
        <v>13</v>
      </c>
      <c r="AD11" s="6"/>
      <c r="AE11" s="1" t="s">
        <v>91</v>
      </c>
      <c r="AF11" s="1">
        <v>6</v>
      </c>
      <c r="AG11" s="3">
        <f t="shared" si="0"/>
        <v>0</v>
      </c>
      <c r="AH11" s="3">
        <f t="shared" si="1"/>
        <v>0</v>
      </c>
      <c r="AI11" s="8">
        <v>2</v>
      </c>
      <c r="AJ11" s="1">
        <v>1</v>
      </c>
      <c r="AK11" s="3">
        <f aca="true" t="shared" si="6" ref="AK11:AK16">SUM(AH11)</f>
        <v>0</v>
      </c>
      <c r="AO11" s="3">
        <v>0</v>
      </c>
      <c r="AQ11" s="1">
        <v>4</v>
      </c>
      <c r="AU11" s="3">
        <f aca="true" t="shared" si="7" ref="AU11:AU17">SUM(AP11)</f>
        <v>0</v>
      </c>
      <c r="AX11" s="3" t="e">
        <f t="shared" si="4"/>
        <v>#DIV/0!</v>
      </c>
      <c r="AY11" s="3" t="e">
        <f t="shared" si="5"/>
        <v>#DIV/0!</v>
      </c>
      <c r="AZ11" s="5"/>
    </row>
    <row r="12" spans="1:52" ht="14.25">
      <c r="A12" s="17"/>
      <c r="B12" s="43"/>
      <c r="C12" s="43"/>
      <c r="D12" s="17"/>
      <c r="E12" s="17"/>
      <c r="F12" s="17"/>
      <c r="G12" s="17"/>
      <c r="H12" s="17"/>
      <c r="I12" s="17"/>
      <c r="J12" s="17"/>
      <c r="K12" s="17"/>
      <c r="L12" s="24">
        <v>10</v>
      </c>
      <c r="M12" s="14" t="s">
        <v>14</v>
      </c>
      <c r="AD12" s="6"/>
      <c r="AE12" s="1" t="s">
        <v>92</v>
      </c>
      <c r="AF12" s="1">
        <v>2</v>
      </c>
      <c r="AG12" s="3">
        <f t="shared" si="0"/>
        <v>0</v>
      </c>
      <c r="AH12" s="3">
        <f t="shared" si="1"/>
        <v>0</v>
      </c>
      <c r="AI12" s="8">
        <v>2</v>
      </c>
      <c r="AJ12" s="1">
        <v>1</v>
      </c>
      <c r="AK12" s="3">
        <f t="shared" si="6"/>
        <v>0</v>
      </c>
      <c r="AO12" s="3">
        <v>0</v>
      </c>
      <c r="AQ12" s="1">
        <v>4</v>
      </c>
      <c r="AU12" s="3">
        <f t="shared" si="7"/>
        <v>0</v>
      </c>
      <c r="AX12" s="3" t="e">
        <f t="shared" si="4"/>
        <v>#DIV/0!</v>
      </c>
      <c r="AY12" s="3" t="e">
        <f t="shared" si="5"/>
        <v>#DIV/0!</v>
      </c>
      <c r="AZ12" s="5"/>
    </row>
    <row r="13" spans="2:52" ht="15">
      <c r="B13" s="38" t="s">
        <v>196</v>
      </c>
      <c r="C13" s="38"/>
      <c r="K13" s="17"/>
      <c r="L13" s="24">
        <v>11</v>
      </c>
      <c r="M13" s="14" t="s">
        <v>15</v>
      </c>
      <c r="AD13" s="6"/>
      <c r="AE13" s="1" t="s">
        <v>93</v>
      </c>
      <c r="AF13" s="1">
        <v>12</v>
      </c>
      <c r="AG13" s="3">
        <f t="shared" si="0"/>
        <v>0</v>
      </c>
      <c r="AH13" s="3">
        <f t="shared" si="1"/>
        <v>0</v>
      </c>
      <c r="AI13" s="8">
        <v>2</v>
      </c>
      <c r="AJ13" s="1">
        <v>1</v>
      </c>
      <c r="AK13" s="3">
        <f t="shared" si="6"/>
        <v>0</v>
      </c>
      <c r="AO13" s="3">
        <v>0</v>
      </c>
      <c r="AQ13" s="1">
        <v>4</v>
      </c>
      <c r="AU13" s="3">
        <f t="shared" si="7"/>
        <v>0</v>
      </c>
      <c r="AX13" s="3" t="e">
        <f t="shared" si="4"/>
        <v>#DIV/0!</v>
      </c>
      <c r="AY13" s="3" t="e">
        <f t="shared" si="5"/>
        <v>#DIV/0!</v>
      </c>
      <c r="AZ13" s="5"/>
    </row>
    <row r="14" spans="3:52" ht="14.25">
      <c r="C14" s="26" t="s">
        <v>287</v>
      </c>
      <c r="D14" s="27"/>
      <c r="K14" s="17"/>
      <c r="L14" s="24">
        <v>12</v>
      </c>
      <c r="M14" s="14" t="s">
        <v>16</v>
      </c>
      <c r="AD14" s="6"/>
      <c r="AE14" s="1" t="s">
        <v>94</v>
      </c>
      <c r="AF14" s="1">
        <v>12</v>
      </c>
      <c r="AG14" s="3">
        <f t="shared" si="0"/>
        <v>0</v>
      </c>
      <c r="AH14" s="3">
        <f t="shared" si="1"/>
        <v>0</v>
      </c>
      <c r="AI14" s="8">
        <v>2</v>
      </c>
      <c r="AJ14" s="1">
        <v>1</v>
      </c>
      <c r="AK14" s="3">
        <f t="shared" si="6"/>
        <v>0</v>
      </c>
      <c r="AO14" s="3">
        <v>0</v>
      </c>
      <c r="AQ14" s="1">
        <v>4</v>
      </c>
      <c r="AU14" s="3">
        <f t="shared" si="7"/>
        <v>0</v>
      </c>
      <c r="AX14" s="3" t="e">
        <f t="shared" si="4"/>
        <v>#DIV/0!</v>
      </c>
      <c r="AY14" s="3" t="e">
        <f t="shared" si="5"/>
        <v>#DIV/0!</v>
      </c>
      <c r="AZ14" s="5"/>
    </row>
    <row r="15" spans="1:52" ht="15">
      <c r="A15" s="20" t="s">
        <v>2</v>
      </c>
      <c r="B15" s="53">
        <f>SUM(N3:N81)</f>
        <v>0</v>
      </c>
      <c r="C15" s="45" t="s">
        <v>260</v>
      </c>
      <c r="F15" s="28"/>
      <c r="G15" s="28"/>
      <c r="J15" s="28"/>
      <c r="K15" s="17"/>
      <c r="L15" s="24">
        <v>13</v>
      </c>
      <c r="M15" s="14" t="s">
        <v>17</v>
      </c>
      <c r="AD15" s="6"/>
      <c r="AE15" s="1" t="s">
        <v>95</v>
      </c>
      <c r="AF15" s="1">
        <v>32</v>
      </c>
      <c r="AG15" s="3">
        <f t="shared" si="0"/>
        <v>0</v>
      </c>
      <c r="AH15" s="3">
        <f t="shared" si="1"/>
        <v>0</v>
      </c>
      <c r="AI15" s="8">
        <v>1.9</v>
      </c>
      <c r="AJ15" s="1">
        <v>1</v>
      </c>
      <c r="AK15" s="3">
        <f t="shared" si="6"/>
        <v>0</v>
      </c>
      <c r="AO15" s="3">
        <v>0</v>
      </c>
      <c r="AQ15" s="1">
        <v>4</v>
      </c>
      <c r="AU15" s="3">
        <f t="shared" si="7"/>
        <v>0</v>
      </c>
      <c r="AX15" s="3" t="e">
        <f t="shared" si="4"/>
        <v>#DIV/0!</v>
      </c>
      <c r="AY15" s="3" t="e">
        <f t="shared" si="5"/>
        <v>#DIV/0!</v>
      </c>
      <c r="AZ15" s="5"/>
    </row>
    <row r="16" spans="1:52" ht="15">
      <c r="A16" s="20" t="s">
        <v>204</v>
      </c>
      <c r="B16" s="48" t="e">
        <f>B15/E10</f>
        <v>#DIV/0!</v>
      </c>
      <c r="C16" s="46" t="s">
        <v>256</v>
      </c>
      <c r="F16" s="28"/>
      <c r="G16" s="28"/>
      <c r="I16" s="28"/>
      <c r="J16" s="28"/>
      <c r="K16" s="17"/>
      <c r="L16" s="24">
        <v>14</v>
      </c>
      <c r="M16" s="14" t="s">
        <v>18</v>
      </c>
      <c r="AD16" s="6"/>
      <c r="AE16" s="1" t="s">
        <v>96</v>
      </c>
      <c r="AF16" s="1">
        <v>1</v>
      </c>
      <c r="AG16" s="3">
        <f t="shared" si="0"/>
        <v>0</v>
      </c>
      <c r="AH16" s="3">
        <f t="shared" si="1"/>
        <v>0</v>
      </c>
      <c r="AI16" s="8">
        <v>1.45</v>
      </c>
      <c r="AJ16" s="1">
        <v>1</v>
      </c>
      <c r="AK16" s="3">
        <f t="shared" si="6"/>
        <v>0</v>
      </c>
      <c r="AO16" s="3">
        <v>9.79</v>
      </c>
      <c r="AP16" s="3">
        <f aca="true" t="shared" si="8" ref="AP16:AP81">AG16*AO16</f>
        <v>0</v>
      </c>
      <c r="AQ16" s="1">
        <v>4</v>
      </c>
      <c r="AU16" s="3">
        <f t="shared" si="7"/>
        <v>0</v>
      </c>
      <c r="AX16" s="3" t="e">
        <f t="shared" si="4"/>
        <v>#DIV/0!</v>
      </c>
      <c r="AY16" s="3" t="e">
        <f t="shared" si="5"/>
        <v>#DIV/0!</v>
      </c>
      <c r="AZ16" s="5"/>
    </row>
    <row r="17" spans="1:52" ht="15">
      <c r="A17" s="20" t="s">
        <v>176</v>
      </c>
      <c r="B17" s="48">
        <f>MAX(AG3:AG81)</f>
        <v>0</v>
      </c>
      <c r="C17" s="45" t="s">
        <v>259</v>
      </c>
      <c r="D17" s="28" t="s">
        <v>214</v>
      </c>
      <c r="E17" s="28" t="e">
        <f>+NISP/MNI</f>
        <v>#DIV/0!</v>
      </c>
      <c r="F17" s="30"/>
      <c r="G17" s="30"/>
      <c r="J17" s="28"/>
      <c r="K17" s="17"/>
      <c r="L17" s="24">
        <v>15</v>
      </c>
      <c r="M17" s="14" t="s">
        <v>19</v>
      </c>
      <c r="AD17" s="6"/>
      <c r="AE17" s="1" t="s">
        <v>97</v>
      </c>
      <c r="AF17" s="1">
        <v>1</v>
      </c>
      <c r="AG17" s="3">
        <f t="shared" si="0"/>
        <v>0</v>
      </c>
      <c r="AH17" s="3">
        <f t="shared" si="1"/>
        <v>0</v>
      </c>
      <c r="AI17" s="8">
        <v>1.38</v>
      </c>
      <c r="AJ17" s="1">
        <v>2</v>
      </c>
      <c r="AL17" s="3">
        <f>SUM(AH17)</f>
        <v>0</v>
      </c>
      <c r="AO17" s="3">
        <v>9.79</v>
      </c>
      <c r="AP17" s="3">
        <f t="shared" si="8"/>
        <v>0</v>
      </c>
      <c r="AQ17" s="1">
        <v>4</v>
      </c>
      <c r="AU17" s="3">
        <f t="shared" si="7"/>
        <v>0</v>
      </c>
      <c r="AX17" s="3" t="e">
        <f t="shared" si="4"/>
        <v>#DIV/0!</v>
      </c>
      <c r="AY17" s="3" t="e">
        <f t="shared" si="5"/>
        <v>#DIV/0!</v>
      </c>
      <c r="AZ17" s="5"/>
    </row>
    <row r="18" spans="1:52" ht="15">
      <c r="A18" s="20" t="s">
        <v>226</v>
      </c>
      <c r="B18" s="48">
        <f>AVERAGE(AG3:AG81)</f>
        <v>0</v>
      </c>
      <c r="C18" s="45" t="s">
        <v>305</v>
      </c>
      <c r="D18" s="28" t="s">
        <v>235</v>
      </c>
      <c r="E18" s="28" t="e">
        <f>AVERAGE(AX3:AX80)</f>
        <v>#DIV/0!</v>
      </c>
      <c r="F18" s="30"/>
      <c r="G18" s="30"/>
      <c r="J18" s="28"/>
      <c r="K18" s="17"/>
      <c r="L18" s="24">
        <v>16</v>
      </c>
      <c r="M18" s="14" t="s">
        <v>20</v>
      </c>
      <c r="AD18" s="6"/>
      <c r="AE18" s="1" t="s">
        <v>98</v>
      </c>
      <c r="AF18" s="1">
        <v>5</v>
      </c>
      <c r="AG18" s="3">
        <f t="shared" si="0"/>
        <v>0</v>
      </c>
      <c r="AH18" s="3">
        <f t="shared" si="1"/>
        <v>0</v>
      </c>
      <c r="AI18" s="8">
        <v>1.26</v>
      </c>
      <c r="AJ18" s="1">
        <v>2</v>
      </c>
      <c r="AL18" s="3">
        <f>SUM(AH18)</f>
        <v>0</v>
      </c>
      <c r="AO18" s="3">
        <v>35.71</v>
      </c>
      <c r="AP18" s="3">
        <f t="shared" si="8"/>
        <v>0</v>
      </c>
      <c r="AQ18" s="1">
        <v>2</v>
      </c>
      <c r="AS18" s="3">
        <f>SUM(AP18)</f>
        <v>0</v>
      </c>
      <c r="AX18" s="3" t="e">
        <f t="shared" si="4"/>
        <v>#DIV/0!</v>
      </c>
      <c r="AY18" s="3" t="e">
        <f t="shared" si="5"/>
        <v>#DIV/0!</v>
      </c>
      <c r="AZ18" s="5"/>
    </row>
    <row r="19" spans="1:52" ht="14.25">
      <c r="A19" s="14" t="s">
        <v>207</v>
      </c>
      <c r="B19" s="36">
        <f>STDEV(AG3:AG81)</f>
        <v>0</v>
      </c>
      <c r="C19" s="47"/>
      <c r="D19" s="28" t="s">
        <v>236</v>
      </c>
      <c r="E19" s="28" t="e">
        <f>STDEV(AX3:AX80)</f>
        <v>#DIV/0!</v>
      </c>
      <c r="F19" s="30"/>
      <c r="G19" s="30"/>
      <c r="J19" s="28"/>
      <c r="K19" s="17"/>
      <c r="L19" s="24">
        <v>17</v>
      </c>
      <c r="M19" s="14" t="s">
        <v>21</v>
      </c>
      <c r="AD19" s="6"/>
      <c r="AE19" s="1" t="s">
        <v>99</v>
      </c>
      <c r="AF19" s="1">
        <v>15</v>
      </c>
      <c r="AG19" s="3">
        <f t="shared" si="0"/>
        <v>0</v>
      </c>
      <c r="AH19" s="3">
        <f t="shared" si="1"/>
        <v>0</v>
      </c>
      <c r="AI19" s="8">
        <v>1.28</v>
      </c>
      <c r="AJ19" s="1">
        <v>2</v>
      </c>
      <c r="AL19" s="3">
        <f>SUM(AH19)</f>
        <v>0</v>
      </c>
      <c r="AO19" s="3">
        <v>45.53</v>
      </c>
      <c r="AP19" s="3">
        <f t="shared" si="8"/>
        <v>0</v>
      </c>
      <c r="AQ19" s="1">
        <v>1</v>
      </c>
      <c r="AR19" s="3">
        <f>SUM(AP19)</f>
        <v>0</v>
      </c>
      <c r="AX19" s="3" t="e">
        <f t="shared" si="4"/>
        <v>#DIV/0!</v>
      </c>
      <c r="AY19" s="3" t="e">
        <f t="shared" si="5"/>
        <v>#DIV/0!</v>
      </c>
      <c r="AZ19" s="5"/>
    </row>
    <row r="20" spans="1:52" ht="14.25">
      <c r="A20" s="14" t="s">
        <v>208</v>
      </c>
      <c r="B20" s="36">
        <f>SUM(AG3:AG81)</f>
        <v>0</v>
      </c>
      <c r="C20" s="47"/>
      <c r="D20" s="28" t="s">
        <v>237</v>
      </c>
      <c r="E20" s="28" t="e">
        <f>100*(E18/E19)</f>
        <v>#DIV/0!</v>
      </c>
      <c r="F20" s="30"/>
      <c r="G20" s="30"/>
      <c r="J20" s="28"/>
      <c r="K20" s="17"/>
      <c r="L20" s="24">
        <v>18</v>
      </c>
      <c r="M20" s="14" t="s">
        <v>22</v>
      </c>
      <c r="AD20" s="6"/>
      <c r="AE20" s="1" t="s">
        <v>100</v>
      </c>
      <c r="AF20" s="1">
        <v>7</v>
      </c>
      <c r="AG20" s="3">
        <f t="shared" si="0"/>
        <v>0</v>
      </c>
      <c r="AH20" s="3">
        <f t="shared" si="1"/>
        <v>0</v>
      </c>
      <c r="AI20" s="8">
        <v>1.35</v>
      </c>
      <c r="AJ20" s="1">
        <v>2</v>
      </c>
      <c r="AL20" s="3">
        <f>SUM(AH20)</f>
        <v>0</v>
      </c>
      <c r="AO20" s="3">
        <v>32.05</v>
      </c>
      <c r="AP20" s="3">
        <f t="shared" si="8"/>
        <v>0</v>
      </c>
      <c r="AQ20" s="1">
        <v>2</v>
      </c>
      <c r="AS20" s="3">
        <f>SUM(AP20)</f>
        <v>0</v>
      </c>
      <c r="AX20" s="3" t="e">
        <f t="shared" si="4"/>
        <v>#DIV/0!</v>
      </c>
      <c r="AY20" s="3" t="e">
        <f t="shared" si="5"/>
        <v>#DIV/0!</v>
      </c>
      <c r="AZ20" s="5"/>
    </row>
    <row r="21" spans="1:52" ht="14.25">
      <c r="A21" s="14" t="s">
        <v>209</v>
      </c>
      <c r="B21" s="36" t="e">
        <f>100*(MAUX/B19)</f>
        <v>#DIV/0!</v>
      </c>
      <c r="C21" s="47"/>
      <c r="D21" s="28" t="s">
        <v>257</v>
      </c>
      <c r="E21" s="25" t="e">
        <f>MNI/E10</f>
        <v>#DIV/0!</v>
      </c>
      <c r="F21" s="30" t="s">
        <v>258</v>
      </c>
      <c r="G21" s="30"/>
      <c r="J21" s="28"/>
      <c r="K21" s="17"/>
      <c r="L21" s="24">
        <v>19</v>
      </c>
      <c r="M21" s="14" t="s">
        <v>23</v>
      </c>
      <c r="AD21" s="6"/>
      <c r="AE21" s="1" t="s">
        <v>101</v>
      </c>
      <c r="AF21" s="1">
        <v>4</v>
      </c>
      <c r="AG21" s="3">
        <f t="shared" si="0"/>
        <v>0</v>
      </c>
      <c r="AH21" s="3">
        <f t="shared" si="1"/>
        <v>0</v>
      </c>
      <c r="AI21" s="8">
        <v>1.5</v>
      </c>
      <c r="AJ21" s="1">
        <v>1</v>
      </c>
      <c r="AK21" s="3">
        <f>SUM(AH21)</f>
        <v>0</v>
      </c>
      <c r="AO21" s="3">
        <v>47.89</v>
      </c>
      <c r="AP21" s="3">
        <f t="shared" si="8"/>
        <v>0</v>
      </c>
      <c r="AQ21" s="1">
        <v>1</v>
      </c>
      <c r="AR21" s="3">
        <f>SUM(AP21)</f>
        <v>0</v>
      </c>
      <c r="AX21" s="3" t="e">
        <f t="shared" si="4"/>
        <v>#DIV/0!</v>
      </c>
      <c r="AY21" s="3" t="e">
        <f t="shared" si="5"/>
        <v>#DIV/0!</v>
      </c>
      <c r="AZ21" s="5"/>
    </row>
    <row r="22" spans="2:52" ht="14.25">
      <c r="B22" s="36"/>
      <c r="C22" s="36"/>
      <c r="D22" s="28"/>
      <c r="E22" s="28"/>
      <c r="F22" s="30"/>
      <c r="G22" s="30"/>
      <c r="I22" s="28"/>
      <c r="J22" s="28"/>
      <c r="K22" s="17"/>
      <c r="L22" s="24">
        <v>20</v>
      </c>
      <c r="M22" s="14" t="s">
        <v>24</v>
      </c>
      <c r="AD22" s="6"/>
      <c r="AE22" s="1" t="s">
        <v>102</v>
      </c>
      <c r="AF22" s="1">
        <v>23</v>
      </c>
      <c r="AG22" s="3">
        <f t="shared" si="0"/>
        <v>0</v>
      </c>
      <c r="AH22" s="3">
        <f t="shared" si="1"/>
        <v>0</v>
      </c>
      <c r="AI22" s="8">
        <v>1</v>
      </c>
      <c r="AJ22" s="1">
        <v>3</v>
      </c>
      <c r="AM22" s="3">
        <f>SUM(AH22)</f>
        <v>0</v>
      </c>
      <c r="AO22" s="3">
        <v>9</v>
      </c>
      <c r="AP22" s="3">
        <f t="shared" si="8"/>
        <v>0</v>
      </c>
      <c r="AQ22" s="1">
        <v>4</v>
      </c>
      <c r="AU22" s="3">
        <f>SUM(AP22)</f>
        <v>0</v>
      </c>
      <c r="AX22" s="3" t="e">
        <f t="shared" si="4"/>
        <v>#DIV/0!</v>
      </c>
      <c r="AY22" s="3" t="e">
        <f t="shared" si="5"/>
        <v>#DIV/0!</v>
      </c>
      <c r="AZ22" s="5"/>
    </row>
    <row r="23" spans="2:52" ht="15">
      <c r="B23" s="48" t="s">
        <v>197</v>
      </c>
      <c r="C23" s="48"/>
      <c r="D23" s="28"/>
      <c r="E23" s="28"/>
      <c r="F23" s="28"/>
      <c r="G23" s="28"/>
      <c r="I23" s="28"/>
      <c r="J23" s="28"/>
      <c r="K23" s="17"/>
      <c r="L23" s="24">
        <v>21</v>
      </c>
      <c r="M23" s="14" t="s">
        <v>25</v>
      </c>
      <c r="AD23" s="6"/>
      <c r="AE23" s="1" t="s">
        <v>103</v>
      </c>
      <c r="AF23" s="1">
        <v>2</v>
      </c>
      <c r="AG23" s="3">
        <f t="shared" si="0"/>
        <v>0</v>
      </c>
      <c r="AH23" s="3">
        <f t="shared" si="1"/>
        <v>0</v>
      </c>
      <c r="AI23" s="8">
        <v>1.52</v>
      </c>
      <c r="AJ23" s="1">
        <v>1</v>
      </c>
      <c r="AK23" s="3">
        <f>SUM(AH23)</f>
        <v>0</v>
      </c>
      <c r="AO23" s="3">
        <v>47.89</v>
      </c>
      <c r="AP23" s="3">
        <f t="shared" si="8"/>
        <v>0</v>
      </c>
      <c r="AQ23" s="1">
        <v>1</v>
      </c>
      <c r="AR23" s="3">
        <f>SUM(AP23)</f>
        <v>0</v>
      </c>
      <c r="AX23" s="3" t="e">
        <f t="shared" si="4"/>
        <v>#DIV/0!</v>
      </c>
      <c r="AY23" s="3" t="e">
        <f t="shared" si="5"/>
        <v>#DIV/0!</v>
      </c>
      <c r="AZ23" s="5"/>
    </row>
    <row r="24" spans="1:52" ht="15">
      <c r="A24" s="31" t="s">
        <v>288</v>
      </c>
      <c r="C24" s="60" t="s">
        <v>341</v>
      </c>
      <c r="D24" s="31" t="s">
        <v>285</v>
      </c>
      <c r="E24" s="32"/>
      <c r="J24" s="28"/>
      <c r="K24" s="17"/>
      <c r="L24" s="24">
        <v>22</v>
      </c>
      <c r="M24" s="14" t="s">
        <v>26</v>
      </c>
      <c r="AD24" s="6"/>
      <c r="AE24" s="1" t="s">
        <v>104</v>
      </c>
      <c r="AF24" s="1">
        <v>30</v>
      </c>
      <c r="AG24" s="3">
        <f t="shared" si="0"/>
        <v>0</v>
      </c>
      <c r="AH24" s="3">
        <f t="shared" si="1"/>
        <v>0</v>
      </c>
      <c r="AI24" s="8">
        <v>1.07</v>
      </c>
      <c r="AJ24" s="1">
        <v>3</v>
      </c>
      <c r="AM24" s="3">
        <f>SUM(AH24)</f>
        <v>0</v>
      </c>
      <c r="AO24" s="3">
        <v>49.77</v>
      </c>
      <c r="AP24" s="3">
        <f t="shared" si="8"/>
        <v>0</v>
      </c>
      <c r="AQ24" s="1">
        <v>1</v>
      </c>
      <c r="AR24" s="3">
        <f>SUM(AP24)</f>
        <v>0</v>
      </c>
      <c r="AX24" s="3" t="e">
        <f t="shared" si="4"/>
        <v>#DIV/0!</v>
      </c>
      <c r="AY24" s="3" t="e">
        <f t="shared" si="5"/>
        <v>#DIV/0!</v>
      </c>
      <c r="AZ24" s="5"/>
    </row>
    <row r="25" spans="1:52" ht="14.25">
      <c r="A25" s="14" t="s">
        <v>262</v>
      </c>
      <c r="C25" s="60" t="s">
        <v>342</v>
      </c>
      <c r="D25" s="14" t="s">
        <v>202</v>
      </c>
      <c r="E25" s="32" t="e">
        <f>N68/N67</f>
        <v>#DIV/0!</v>
      </c>
      <c r="J25" s="28"/>
      <c r="K25" s="17"/>
      <c r="L25" s="24">
        <v>23</v>
      </c>
      <c r="M25" s="14" t="s">
        <v>27</v>
      </c>
      <c r="AD25" s="6"/>
      <c r="AE25" s="1" t="s">
        <v>105</v>
      </c>
      <c r="AF25" s="1">
        <v>2</v>
      </c>
      <c r="AG25" s="3">
        <f t="shared" si="0"/>
        <v>0</v>
      </c>
      <c r="AH25" s="3">
        <f t="shared" si="1"/>
        <v>0</v>
      </c>
      <c r="AI25" s="8">
        <v>1.4</v>
      </c>
      <c r="AJ25" s="1">
        <v>1</v>
      </c>
      <c r="AK25" s="3">
        <f>SUM(AH25)</f>
        <v>0</v>
      </c>
      <c r="AO25" s="3">
        <v>43.47</v>
      </c>
      <c r="AP25" s="3">
        <f t="shared" si="8"/>
        <v>0</v>
      </c>
      <c r="AQ25" s="1">
        <v>1</v>
      </c>
      <c r="AR25" s="3">
        <f>SUM(AP25)</f>
        <v>0</v>
      </c>
      <c r="AX25" s="3" t="e">
        <f t="shared" si="4"/>
        <v>#DIV/0!</v>
      </c>
      <c r="AY25" s="3" t="e">
        <f t="shared" si="5"/>
        <v>#DIV/0!</v>
      </c>
      <c r="AZ25" s="5"/>
    </row>
    <row r="26" spans="1:52" ht="14.25">
      <c r="A26" s="33" t="s">
        <v>261</v>
      </c>
      <c r="B26" s="36">
        <f>AVERAGE(AH3:AH81)</f>
        <v>0</v>
      </c>
      <c r="C26" s="60" t="s">
        <v>343</v>
      </c>
      <c r="D26" s="14" t="s">
        <v>199</v>
      </c>
      <c r="E26" s="28" t="e">
        <f>N28/N27</f>
        <v>#DIV/0!</v>
      </c>
      <c r="J26" s="28"/>
      <c r="K26" s="17"/>
      <c r="L26" s="24">
        <v>24</v>
      </c>
      <c r="M26" s="14" t="s">
        <v>28</v>
      </c>
      <c r="AD26" s="6"/>
      <c r="AE26" s="1" t="s">
        <v>106</v>
      </c>
      <c r="AF26" s="1">
        <v>2</v>
      </c>
      <c r="AG26" s="3">
        <f t="shared" si="0"/>
        <v>0</v>
      </c>
      <c r="AH26" s="3">
        <f t="shared" si="1"/>
        <v>0</v>
      </c>
      <c r="AI26" s="8">
        <v>0.75</v>
      </c>
      <c r="AJ26" s="1">
        <v>4</v>
      </c>
      <c r="AN26" s="3">
        <f>SUM(AH26)</f>
        <v>0</v>
      </c>
      <c r="AO26" s="3">
        <v>43.47</v>
      </c>
      <c r="AP26" s="3">
        <f t="shared" si="8"/>
        <v>0</v>
      </c>
      <c r="AQ26" s="1">
        <v>1</v>
      </c>
      <c r="AR26" s="3">
        <f>SUM(AP26)</f>
        <v>0</v>
      </c>
      <c r="AX26" s="3" t="e">
        <f t="shared" si="4"/>
        <v>#DIV/0!</v>
      </c>
      <c r="AY26" s="3" t="e">
        <f t="shared" si="5"/>
        <v>#DIV/0!</v>
      </c>
      <c r="AZ26" s="5"/>
    </row>
    <row r="27" spans="1:52" ht="14.25">
      <c r="A27" s="33" t="s">
        <v>310</v>
      </c>
      <c r="B27" s="54" t="e">
        <f>B26/NISP</f>
        <v>#DIV/0!</v>
      </c>
      <c r="C27" s="49" t="s">
        <v>344</v>
      </c>
      <c r="D27" s="14" t="s">
        <v>216</v>
      </c>
      <c r="E27" s="28" t="e">
        <f>N73/N72</f>
        <v>#DIV/0!</v>
      </c>
      <c r="F27" s="28"/>
      <c r="G27" s="28"/>
      <c r="I27" s="28"/>
      <c r="J27" s="28"/>
      <c r="K27" s="17"/>
      <c r="L27" s="24">
        <v>25</v>
      </c>
      <c r="M27" s="14" t="s">
        <v>29</v>
      </c>
      <c r="AD27" s="6"/>
      <c r="AE27" s="1" t="s">
        <v>107</v>
      </c>
      <c r="AF27" s="1">
        <v>2</v>
      </c>
      <c r="AG27" s="3">
        <f t="shared" si="0"/>
        <v>0</v>
      </c>
      <c r="AH27" s="3">
        <f t="shared" si="1"/>
        <v>0</v>
      </c>
      <c r="AI27" s="8">
        <v>0.87</v>
      </c>
      <c r="AJ27" s="1">
        <v>4</v>
      </c>
      <c r="AN27" s="3">
        <f>SUM(AH27)</f>
        <v>0</v>
      </c>
      <c r="AO27" s="3">
        <v>43.47</v>
      </c>
      <c r="AP27" s="3">
        <f t="shared" si="8"/>
        <v>0</v>
      </c>
      <c r="AQ27" s="1">
        <v>2</v>
      </c>
      <c r="AS27" s="3">
        <f>SUM(AP27)</f>
        <v>0</v>
      </c>
      <c r="AX27" s="3" t="e">
        <f t="shared" si="4"/>
        <v>#DIV/0!</v>
      </c>
      <c r="AY27" s="3" t="e">
        <f t="shared" si="5"/>
        <v>#DIV/0!</v>
      </c>
      <c r="AZ27" s="5"/>
    </row>
    <row r="28" spans="1:52" ht="14.25">
      <c r="A28" s="34" t="s">
        <v>238</v>
      </c>
      <c r="B28" s="36">
        <f>AVERAGE(maumgui)</f>
        <v>0</v>
      </c>
      <c r="C28" s="49" t="s">
        <v>345</v>
      </c>
      <c r="D28" s="14" t="s">
        <v>251</v>
      </c>
      <c r="E28" s="28" t="e">
        <f>SUM(N54:N57)/SUM(N62:N64)</f>
        <v>#DIV/0!</v>
      </c>
      <c r="F28" s="28"/>
      <c r="G28" s="28"/>
      <c r="I28" s="28"/>
      <c r="J28" s="28"/>
      <c r="K28" s="17"/>
      <c r="L28" s="24">
        <v>26</v>
      </c>
      <c r="M28" s="14" t="s">
        <v>30</v>
      </c>
      <c r="AD28" s="6"/>
      <c r="AE28" s="1" t="s">
        <v>108</v>
      </c>
      <c r="AF28" s="1">
        <v>2</v>
      </c>
      <c r="AG28" s="3">
        <f t="shared" si="0"/>
        <v>0</v>
      </c>
      <c r="AH28" s="3">
        <f t="shared" si="1"/>
        <v>0</v>
      </c>
      <c r="AI28" s="8">
        <v>1.41</v>
      </c>
      <c r="AJ28" s="1">
        <v>1</v>
      </c>
      <c r="AK28" s="3">
        <f>SUM(AH28)</f>
        <v>0</v>
      </c>
      <c r="AO28" s="3">
        <v>36.52</v>
      </c>
      <c r="AP28" s="3">
        <f t="shared" si="8"/>
        <v>0</v>
      </c>
      <c r="AQ28" s="1">
        <v>2</v>
      </c>
      <c r="AS28" s="3">
        <f>SUM(AP28)</f>
        <v>0</v>
      </c>
      <c r="AX28" s="3" t="e">
        <f t="shared" si="4"/>
        <v>#DIV/0!</v>
      </c>
      <c r="AY28" s="3" t="e">
        <f t="shared" si="5"/>
        <v>#DIV/0!</v>
      </c>
      <c r="AZ28" s="5"/>
    </row>
    <row r="29" spans="3:52" ht="15">
      <c r="C29" s="50"/>
      <c r="D29" s="29" t="s">
        <v>219</v>
      </c>
      <c r="E29" s="28"/>
      <c r="F29" s="28"/>
      <c r="G29" s="28"/>
      <c r="K29" s="17"/>
      <c r="L29" s="24">
        <v>27</v>
      </c>
      <c r="M29" s="14" t="s">
        <v>31</v>
      </c>
      <c r="AD29" s="6"/>
      <c r="AE29" s="1" t="s">
        <v>109</v>
      </c>
      <c r="AF29" s="1">
        <v>2</v>
      </c>
      <c r="AG29" s="3">
        <f t="shared" si="0"/>
        <v>0</v>
      </c>
      <c r="AH29" s="3">
        <f t="shared" si="1"/>
        <v>0</v>
      </c>
      <c r="AI29" s="8">
        <v>1</v>
      </c>
      <c r="AJ29" s="1">
        <v>3</v>
      </c>
      <c r="AM29" s="3">
        <f>SUM(AH29)</f>
        <v>0</v>
      </c>
      <c r="AO29" s="3">
        <f>(43.47+36.52)/2</f>
        <v>39.995000000000005</v>
      </c>
      <c r="AP29" s="3">
        <f t="shared" si="8"/>
        <v>0</v>
      </c>
      <c r="AQ29" s="1">
        <v>2</v>
      </c>
      <c r="AS29" s="3">
        <f>SUM(AP29)</f>
        <v>0</v>
      </c>
      <c r="AX29" s="3" t="e">
        <f t="shared" si="4"/>
        <v>#DIV/0!</v>
      </c>
      <c r="AY29" s="3" t="e">
        <f t="shared" si="5"/>
        <v>#DIV/0!</v>
      </c>
      <c r="AZ29" s="5"/>
    </row>
    <row r="30" spans="1:52" ht="14.25">
      <c r="A30" s="14" t="s">
        <v>198</v>
      </c>
      <c r="B30" s="36" t="e">
        <f>100*(SUM(N11:N15)/NISP)</f>
        <v>#DIV/0!</v>
      </c>
      <c r="C30" s="50"/>
      <c r="D30" s="28"/>
      <c r="E30" s="28" t="s">
        <v>273</v>
      </c>
      <c r="F30" s="28" t="s">
        <v>274</v>
      </c>
      <c r="G30" s="28"/>
      <c r="K30" s="17"/>
      <c r="L30" s="24">
        <v>28</v>
      </c>
      <c r="M30" s="14" t="s">
        <v>32</v>
      </c>
      <c r="AD30" s="6"/>
      <c r="AE30" s="1" t="s">
        <v>110</v>
      </c>
      <c r="AF30" s="1">
        <v>2</v>
      </c>
      <c r="AG30" s="3">
        <f t="shared" si="0"/>
        <v>0</v>
      </c>
      <c r="AH30" s="3">
        <f t="shared" si="1"/>
        <v>0</v>
      </c>
      <c r="AI30" s="8">
        <v>0.75</v>
      </c>
      <c r="AJ30" s="1">
        <v>4</v>
      </c>
      <c r="AN30" s="3">
        <f>SUM(AH30)</f>
        <v>0</v>
      </c>
      <c r="AO30" s="3">
        <v>26.64</v>
      </c>
      <c r="AP30" s="3">
        <f t="shared" si="8"/>
        <v>0</v>
      </c>
      <c r="AQ30" s="1">
        <v>2</v>
      </c>
      <c r="AS30" s="3">
        <f>SUM(AP30)</f>
        <v>0</v>
      </c>
      <c r="AX30" s="3" t="e">
        <f t="shared" si="4"/>
        <v>#DIV/0!</v>
      </c>
      <c r="AY30" s="3" t="e">
        <f t="shared" si="5"/>
        <v>#DIV/0!</v>
      </c>
      <c r="AZ30" s="5"/>
    </row>
    <row r="31" spans="1:52" ht="14.25">
      <c r="A31" s="14" t="s">
        <v>218</v>
      </c>
      <c r="B31" s="36" t="e">
        <f>100*((N26+N30+N34+N38+N44+N40+N64+N69)/NISP)</f>
        <v>#DIV/0!</v>
      </c>
      <c r="C31" s="36"/>
      <c r="D31" s="14" t="s">
        <v>220</v>
      </c>
      <c r="E31" s="35">
        <f>COUNT(AK3:AK81)</f>
        <v>20</v>
      </c>
      <c r="F31" s="28">
        <f>SUM(AK3:AK81)</f>
        <v>0</v>
      </c>
      <c r="G31" s="28"/>
      <c r="K31" s="17"/>
      <c r="L31" s="24">
        <v>29</v>
      </c>
      <c r="M31" s="14" t="s">
        <v>33</v>
      </c>
      <c r="AD31" s="6"/>
      <c r="AE31" s="1" t="s">
        <v>111</v>
      </c>
      <c r="AF31" s="1">
        <v>2</v>
      </c>
      <c r="AG31" s="3">
        <f t="shared" si="0"/>
        <v>0</v>
      </c>
      <c r="AH31" s="3">
        <f t="shared" si="1"/>
        <v>0</v>
      </c>
      <c r="AI31" s="8">
        <v>1.33</v>
      </c>
      <c r="AJ31" s="1">
        <v>2</v>
      </c>
      <c r="AL31" s="3">
        <f>SUM(AH31)</f>
        <v>0</v>
      </c>
      <c r="AO31" s="3">
        <v>26.64</v>
      </c>
      <c r="AP31" s="3">
        <f t="shared" si="8"/>
        <v>0</v>
      </c>
      <c r="AQ31" s="1">
        <v>2</v>
      </c>
      <c r="AS31" s="3">
        <f>SUM(AP31)</f>
        <v>0</v>
      </c>
      <c r="AX31" s="3" t="e">
        <f t="shared" si="4"/>
        <v>#DIV/0!</v>
      </c>
      <c r="AY31" s="3" t="e">
        <f t="shared" si="5"/>
        <v>#DIV/0!</v>
      </c>
      <c r="AZ31" s="5"/>
    </row>
    <row r="32" spans="1:52" ht="14.25">
      <c r="A32" s="14" t="s">
        <v>215</v>
      </c>
      <c r="B32" s="36" t="e">
        <f>100*((N29+N33+N41+N49+N53+N69+N74)/NISP)</f>
        <v>#DIV/0!</v>
      </c>
      <c r="C32" s="36"/>
      <c r="D32" s="14" t="s">
        <v>221</v>
      </c>
      <c r="E32" s="35">
        <f>COUNT(AL3:AL81)</f>
        <v>21</v>
      </c>
      <c r="F32" s="28">
        <f>SUM(AL3:AL81)</f>
        <v>0</v>
      </c>
      <c r="G32" s="28"/>
      <c r="K32" s="17"/>
      <c r="L32" s="24">
        <v>30</v>
      </c>
      <c r="M32" s="14" t="s">
        <v>34</v>
      </c>
      <c r="AD32" s="6"/>
      <c r="AE32" s="1" t="s">
        <v>112</v>
      </c>
      <c r="AF32" s="1">
        <v>2</v>
      </c>
      <c r="AG32" s="3">
        <f t="shared" si="0"/>
        <v>0</v>
      </c>
      <c r="AH32" s="3">
        <f t="shared" si="1"/>
        <v>0</v>
      </c>
      <c r="AI32" s="8">
        <v>1.36</v>
      </c>
      <c r="AJ32" s="1">
        <v>2</v>
      </c>
      <c r="AL32" s="3">
        <f>SUM(AH32)</f>
        <v>0</v>
      </c>
      <c r="AO32" s="3">
        <v>22.23</v>
      </c>
      <c r="AP32" s="3">
        <f t="shared" si="8"/>
        <v>0</v>
      </c>
      <c r="AQ32" s="1">
        <v>3</v>
      </c>
      <c r="AT32" s="3">
        <f>SUM(AP32)</f>
        <v>0</v>
      </c>
      <c r="AX32" s="3" t="e">
        <f t="shared" si="4"/>
        <v>#DIV/0!</v>
      </c>
      <c r="AY32" s="3" t="e">
        <f t="shared" si="5"/>
        <v>#DIV/0!</v>
      </c>
      <c r="AZ32" s="5"/>
    </row>
    <row r="33" spans="1:52" ht="15">
      <c r="A33" s="20" t="s">
        <v>284</v>
      </c>
      <c r="C33" s="36"/>
      <c r="D33" s="14" t="s">
        <v>222</v>
      </c>
      <c r="E33" s="35">
        <f>COUNT(AM3:AM81)</f>
        <v>18</v>
      </c>
      <c r="F33" s="28">
        <f>SUM(AM3:AM81)</f>
        <v>0</v>
      </c>
      <c r="G33" s="28"/>
      <c r="K33" s="17"/>
      <c r="L33" s="24">
        <v>31</v>
      </c>
      <c r="M33" s="14" t="s">
        <v>35</v>
      </c>
      <c r="AD33" s="6"/>
      <c r="AE33" s="1" t="s">
        <v>113</v>
      </c>
      <c r="AF33" s="1">
        <v>2</v>
      </c>
      <c r="AG33" s="3">
        <f t="shared" si="0"/>
        <v>0</v>
      </c>
      <c r="AH33" s="3">
        <f t="shared" si="1"/>
        <v>0</v>
      </c>
      <c r="AI33" s="8">
        <v>1</v>
      </c>
      <c r="AJ33" s="1">
        <v>3</v>
      </c>
      <c r="AM33" s="3">
        <f>SUM(AH33)</f>
        <v>0</v>
      </c>
      <c r="AO33" s="3">
        <f>(26.64+22.23)/2</f>
        <v>24.435000000000002</v>
      </c>
      <c r="AP33" s="3">
        <f t="shared" si="8"/>
        <v>0</v>
      </c>
      <c r="AQ33" s="1">
        <v>3</v>
      </c>
      <c r="AT33" s="3">
        <f>SUM(AP33)</f>
        <v>0</v>
      </c>
      <c r="AX33" s="3" t="e">
        <f t="shared" si="4"/>
        <v>#DIV/0!</v>
      </c>
      <c r="AY33" s="3" t="e">
        <f t="shared" si="5"/>
        <v>#DIV/0!</v>
      </c>
      <c r="AZ33" s="5"/>
    </row>
    <row r="34" spans="1:52" ht="14.25">
      <c r="A34" s="32" t="s">
        <v>210</v>
      </c>
      <c r="B34" s="36" t="e">
        <f>SUM(AX27)</f>
        <v>#DIV/0!</v>
      </c>
      <c r="C34" s="36"/>
      <c r="D34" s="14" t="s">
        <v>223</v>
      </c>
      <c r="E34" s="35">
        <f>COUNT(AN3:AN81)</f>
        <v>19</v>
      </c>
      <c r="F34" s="28">
        <f>SUM(AN3:AN81)</f>
        <v>0</v>
      </c>
      <c r="G34" s="28"/>
      <c r="K34" s="17"/>
      <c r="L34" s="24">
        <v>32</v>
      </c>
      <c r="M34" s="14" t="s">
        <v>36</v>
      </c>
      <c r="AD34" s="6"/>
      <c r="AE34" s="1" t="s">
        <v>114</v>
      </c>
      <c r="AF34" s="1">
        <v>2</v>
      </c>
      <c r="AG34" s="3">
        <f t="shared" si="0"/>
        <v>0</v>
      </c>
      <c r="AH34" s="3">
        <f t="shared" si="1"/>
        <v>0</v>
      </c>
      <c r="AI34" s="8">
        <v>1.25</v>
      </c>
      <c r="AJ34" s="1">
        <v>2</v>
      </c>
      <c r="AL34" s="3">
        <f>SUM(AH34)</f>
        <v>0</v>
      </c>
      <c r="AO34" s="3">
        <v>26.64</v>
      </c>
      <c r="AP34" s="3">
        <f>AG34*AO34</f>
        <v>0</v>
      </c>
      <c r="AQ34" s="1">
        <v>2</v>
      </c>
      <c r="AS34" s="3">
        <f>SUM(AP34)</f>
        <v>0</v>
      </c>
      <c r="AX34" s="3" t="e">
        <f t="shared" si="4"/>
        <v>#DIV/0!</v>
      </c>
      <c r="AY34" s="3" t="e">
        <f t="shared" si="5"/>
        <v>#DIV/0!</v>
      </c>
      <c r="AZ34" s="5"/>
    </row>
    <row r="35" spans="1:52" ht="14.25">
      <c r="A35" s="32" t="s">
        <v>211</v>
      </c>
      <c r="B35" s="36" t="e">
        <f>SUM(AX26)</f>
        <v>#DIV/0!</v>
      </c>
      <c r="C35" s="36"/>
      <c r="E35" s="28"/>
      <c r="F35" s="28">
        <f>SUM(F31:F34)</f>
        <v>0</v>
      </c>
      <c r="G35" s="28"/>
      <c r="I35" s="28"/>
      <c r="J35" s="28"/>
      <c r="K35" s="17"/>
      <c r="L35" s="24">
        <v>33</v>
      </c>
      <c r="M35" s="14" t="s">
        <v>37</v>
      </c>
      <c r="AD35" s="6"/>
      <c r="AE35" s="1" t="s">
        <v>115</v>
      </c>
      <c r="AF35" s="1">
        <v>2</v>
      </c>
      <c r="AG35" s="3">
        <f t="shared" si="0"/>
        <v>0</v>
      </c>
      <c r="AH35" s="3">
        <f t="shared" si="1"/>
        <v>0</v>
      </c>
      <c r="AI35" s="8">
        <v>1.25</v>
      </c>
      <c r="AJ35" s="1">
        <v>2</v>
      </c>
      <c r="AL35" s="3">
        <f>SUM(AH35)</f>
        <v>0</v>
      </c>
      <c r="AO35" s="3">
        <v>26.64</v>
      </c>
      <c r="AP35" s="3">
        <f>AG35*AO35</f>
        <v>0</v>
      </c>
      <c r="AQ35" s="1">
        <v>2</v>
      </c>
      <c r="AS35" s="3">
        <f>SUM(AP35)</f>
        <v>0</v>
      </c>
      <c r="AX35" s="3" t="e">
        <f aca="true" t="shared" si="9" ref="AX35:AX66">100*(SUM(AG35)/MNI)</f>
        <v>#DIV/0!</v>
      </c>
      <c r="AY35" s="3" t="e">
        <f aca="true" t="shared" si="10" ref="AY35:AY66">100*(SUM(AG35)/MAUX)</f>
        <v>#DIV/0!</v>
      </c>
      <c r="AZ35" s="5"/>
    </row>
    <row r="36" spans="1:52" ht="15">
      <c r="A36" s="32" t="s">
        <v>212</v>
      </c>
      <c r="B36" s="36" t="e">
        <f>SUM(AX72)</f>
        <v>#DIV/0!</v>
      </c>
      <c r="C36" s="36"/>
      <c r="D36" s="20" t="s">
        <v>275</v>
      </c>
      <c r="E36" s="28"/>
      <c r="I36" s="28"/>
      <c r="J36" s="28"/>
      <c r="K36" s="17"/>
      <c r="L36" s="24">
        <v>34</v>
      </c>
      <c r="M36" s="14" t="s">
        <v>38</v>
      </c>
      <c r="AD36" s="6"/>
      <c r="AE36" s="1" t="s">
        <v>116</v>
      </c>
      <c r="AF36" s="1">
        <v>2</v>
      </c>
      <c r="AG36" s="3">
        <f t="shared" si="0"/>
        <v>0</v>
      </c>
      <c r="AH36" s="3">
        <f t="shared" si="1"/>
        <v>0</v>
      </c>
      <c r="AI36" s="8">
        <v>1.5</v>
      </c>
      <c r="AJ36" s="1">
        <v>1</v>
      </c>
      <c r="AK36" s="3">
        <f>SUM(AH36)</f>
        <v>0</v>
      </c>
      <c r="AO36" s="3">
        <v>24.44</v>
      </c>
      <c r="AP36" s="3">
        <f>AG36*AO36</f>
        <v>0</v>
      </c>
      <c r="AQ36" s="1">
        <v>3</v>
      </c>
      <c r="AT36" s="3">
        <f>SUM(AP36)</f>
        <v>0</v>
      </c>
      <c r="AX36" s="3" t="e">
        <f t="shared" si="9"/>
        <v>#DIV/0!</v>
      </c>
      <c r="AY36" s="3" t="e">
        <f t="shared" si="10"/>
        <v>#DIV/0!</v>
      </c>
      <c r="AZ36" s="5"/>
    </row>
    <row r="37" spans="1:52" ht="14.25">
      <c r="A37" s="32" t="s">
        <v>213</v>
      </c>
      <c r="B37" s="36" t="e">
        <f>SUM(AX73)</f>
        <v>#DIV/0!</v>
      </c>
      <c r="C37" s="36"/>
      <c r="E37" s="28" t="s">
        <v>273</v>
      </c>
      <c r="F37" s="28" t="s">
        <v>274</v>
      </c>
      <c r="G37" s="28"/>
      <c r="J37" s="28"/>
      <c r="K37" s="17"/>
      <c r="L37" s="24">
        <v>35</v>
      </c>
      <c r="M37" s="14" t="s">
        <v>39</v>
      </c>
      <c r="AD37" s="6"/>
      <c r="AE37" s="1" t="s">
        <v>117</v>
      </c>
      <c r="AF37" s="1">
        <v>6</v>
      </c>
      <c r="AG37" s="3">
        <f t="shared" si="0"/>
        <v>0</v>
      </c>
      <c r="AH37" s="3">
        <f t="shared" si="1"/>
        <v>0</v>
      </c>
      <c r="AI37" s="8">
        <v>1.19</v>
      </c>
      <c r="AJ37" s="1">
        <v>3</v>
      </c>
      <c r="AM37" s="3">
        <f>SUM(AH37)</f>
        <v>0</v>
      </c>
      <c r="AO37" s="3">
        <v>15.53</v>
      </c>
      <c r="AP37" s="3">
        <f t="shared" si="8"/>
        <v>0</v>
      </c>
      <c r="AQ37" s="1">
        <v>3</v>
      </c>
      <c r="AT37" s="3">
        <f>SUM(AP37)</f>
        <v>0</v>
      </c>
      <c r="AX37" s="3" t="e">
        <f t="shared" si="9"/>
        <v>#DIV/0!</v>
      </c>
      <c r="AY37" s="3" t="e">
        <f t="shared" si="10"/>
        <v>#DIV/0!</v>
      </c>
      <c r="AZ37" s="5"/>
    </row>
    <row r="38" spans="3:52" ht="14.25">
      <c r="C38" s="36"/>
      <c r="D38" s="14" t="s">
        <v>276</v>
      </c>
      <c r="E38" s="14">
        <f>COUNT(AR3:AR81)</f>
        <v>23</v>
      </c>
      <c r="F38" s="14">
        <f>SUM(AR3:AR81)</f>
        <v>0</v>
      </c>
      <c r="J38" s="28"/>
      <c r="K38" s="17"/>
      <c r="L38" s="24">
        <v>36</v>
      </c>
      <c r="M38" s="14" t="s">
        <v>40</v>
      </c>
      <c r="AD38" s="6"/>
      <c r="AE38" s="1" t="s">
        <v>118</v>
      </c>
      <c r="AF38" s="1">
        <v>8</v>
      </c>
      <c r="AG38" s="3">
        <f t="shared" si="0"/>
        <v>0</v>
      </c>
      <c r="AH38" s="3">
        <f t="shared" si="1"/>
        <v>0</v>
      </c>
      <c r="AI38" s="8">
        <v>0.75</v>
      </c>
      <c r="AJ38" s="1">
        <v>4</v>
      </c>
      <c r="AN38" s="3">
        <f>SUM(AH38)</f>
        <v>0</v>
      </c>
      <c r="AO38" s="3">
        <v>12.18</v>
      </c>
      <c r="AP38" s="3">
        <f t="shared" si="8"/>
        <v>0</v>
      </c>
      <c r="AQ38" s="1">
        <v>4</v>
      </c>
      <c r="AU38" s="3">
        <f>SUM(AP38)</f>
        <v>0</v>
      </c>
      <c r="AX38" s="3" t="e">
        <f t="shared" si="9"/>
        <v>#DIV/0!</v>
      </c>
      <c r="AY38" s="3" t="e">
        <f t="shared" si="10"/>
        <v>#DIV/0!</v>
      </c>
      <c r="AZ38" s="5"/>
    </row>
    <row r="39" spans="1:52" ht="15">
      <c r="A39" s="20" t="s">
        <v>177</v>
      </c>
      <c r="B39" s="36" t="s">
        <v>249</v>
      </c>
      <c r="C39" s="36" t="s">
        <v>182</v>
      </c>
      <c r="D39" s="14" t="s">
        <v>277</v>
      </c>
      <c r="E39" s="14">
        <f>COUNT(AS3:AS81)</f>
        <v>17</v>
      </c>
      <c r="F39" s="14">
        <f>SUM(AS3:AS81)</f>
        <v>0</v>
      </c>
      <c r="J39" s="28"/>
      <c r="K39" s="17"/>
      <c r="L39" s="24">
        <v>37</v>
      </c>
      <c r="M39" s="14" t="s">
        <v>41</v>
      </c>
      <c r="AD39" s="6"/>
      <c r="AE39" s="1" t="s">
        <v>119</v>
      </c>
      <c r="AF39" s="1">
        <v>8</v>
      </c>
      <c r="AG39" s="3">
        <f t="shared" si="0"/>
        <v>0</v>
      </c>
      <c r="AH39" s="3">
        <f t="shared" si="1"/>
        <v>0</v>
      </c>
      <c r="AI39" s="8">
        <v>1.25</v>
      </c>
      <c r="AJ39" s="1">
        <v>2</v>
      </c>
      <c r="AL39" s="3">
        <f>SUM(AH39)</f>
        <v>0</v>
      </c>
      <c r="AO39" s="3">
        <v>12.18</v>
      </c>
      <c r="AP39" s="3">
        <f t="shared" si="8"/>
        <v>0</v>
      </c>
      <c r="AQ39" s="1">
        <v>4</v>
      </c>
      <c r="AU39" s="3">
        <f>SUM(AP39)</f>
        <v>0</v>
      </c>
      <c r="AX39" s="3" t="e">
        <f t="shared" si="9"/>
        <v>#DIV/0!</v>
      </c>
      <c r="AY39" s="3" t="e">
        <f t="shared" si="10"/>
        <v>#DIV/0!</v>
      </c>
      <c r="AZ39" s="5"/>
    </row>
    <row r="40" spans="1:52" ht="14.25">
      <c r="A40" s="14" t="s">
        <v>230</v>
      </c>
      <c r="B40" s="36">
        <f>SUM(one)</f>
        <v>0</v>
      </c>
      <c r="C40" s="36" t="e">
        <f aca="true" t="shared" si="11" ref="C40:C45">100*(B40/$B$45)</f>
        <v>#DIV/0!</v>
      </c>
      <c r="D40" s="14" t="s">
        <v>278</v>
      </c>
      <c r="E40" s="14">
        <f>COUNT(AT3:AT81)</f>
        <v>21</v>
      </c>
      <c r="F40" s="14">
        <f>SUM(AT3:AT81)</f>
        <v>0</v>
      </c>
      <c r="J40" s="28"/>
      <c r="K40" s="17"/>
      <c r="L40" s="24">
        <v>38</v>
      </c>
      <c r="M40" s="14" t="s">
        <v>42</v>
      </c>
      <c r="AD40" s="6"/>
      <c r="AE40" s="1" t="s">
        <v>120</v>
      </c>
      <c r="AF40" s="1">
        <v>8</v>
      </c>
      <c r="AG40" s="3">
        <f t="shared" si="0"/>
        <v>0</v>
      </c>
      <c r="AH40" s="3">
        <f t="shared" si="1"/>
        <v>0</v>
      </c>
      <c r="AI40" s="8">
        <v>1.28</v>
      </c>
      <c r="AJ40" s="1">
        <v>2</v>
      </c>
      <c r="AL40" s="3">
        <f>SUM(AH40)</f>
        <v>0</v>
      </c>
      <c r="AO40" s="3">
        <v>10.5</v>
      </c>
      <c r="AP40" s="3">
        <f t="shared" si="8"/>
        <v>0</v>
      </c>
      <c r="AQ40" s="1">
        <v>4</v>
      </c>
      <c r="AU40" s="3">
        <f>SUM(AP40)</f>
        <v>0</v>
      </c>
      <c r="AX40" s="3" t="e">
        <f t="shared" si="9"/>
        <v>#DIV/0!</v>
      </c>
      <c r="AY40" s="3" t="e">
        <f t="shared" si="10"/>
        <v>#DIV/0!</v>
      </c>
      <c r="AZ40" s="5"/>
    </row>
    <row r="41" spans="1:52" ht="14.25">
      <c r="A41" s="14" t="s">
        <v>178</v>
      </c>
      <c r="B41" s="36">
        <f>SUM(two)</f>
        <v>0</v>
      </c>
      <c r="C41" s="36" t="e">
        <f t="shared" si="11"/>
        <v>#DIV/0!</v>
      </c>
      <c r="D41" s="14" t="s">
        <v>279</v>
      </c>
      <c r="E41" s="14">
        <f>COUNT(AU3:AU81)</f>
        <v>17</v>
      </c>
      <c r="F41" s="28">
        <f>SUM(AU3:AU81)</f>
        <v>0</v>
      </c>
      <c r="G41" s="28"/>
      <c r="J41" s="28"/>
      <c r="K41" s="17"/>
      <c r="L41" s="24">
        <v>39</v>
      </c>
      <c r="M41" s="14" t="s">
        <v>43</v>
      </c>
      <c r="AD41" s="6"/>
      <c r="AE41" s="1" t="s">
        <v>121</v>
      </c>
      <c r="AF41" s="1">
        <v>8</v>
      </c>
      <c r="AG41" s="3">
        <f t="shared" si="0"/>
        <v>0</v>
      </c>
      <c r="AH41" s="3">
        <f t="shared" si="1"/>
        <v>0</v>
      </c>
      <c r="AI41" s="8">
        <v>1</v>
      </c>
      <c r="AJ41" s="1">
        <v>3</v>
      </c>
      <c r="AM41" s="3">
        <f>SUM(AH41)</f>
        <v>0</v>
      </c>
      <c r="AO41" s="3">
        <f>(12.18+10.5)/2</f>
        <v>11.34</v>
      </c>
      <c r="AP41" s="3">
        <f t="shared" si="8"/>
        <v>0</v>
      </c>
      <c r="AQ41" s="1">
        <v>4</v>
      </c>
      <c r="AU41" s="3">
        <f>SUM(AP41)</f>
        <v>0</v>
      </c>
      <c r="AX41" s="3" t="e">
        <f t="shared" si="9"/>
        <v>#DIV/0!</v>
      </c>
      <c r="AY41" s="3" t="e">
        <f t="shared" si="10"/>
        <v>#DIV/0!</v>
      </c>
      <c r="AZ41" s="5"/>
    </row>
    <row r="42" spans="1:52" ht="14.25">
      <c r="A42" s="14" t="s">
        <v>179</v>
      </c>
      <c r="B42" s="36">
        <f>SUM(five)</f>
        <v>0</v>
      </c>
      <c r="C42" s="36" t="e">
        <f t="shared" si="11"/>
        <v>#DIV/0!</v>
      </c>
      <c r="F42" s="14">
        <f>SUM(F38:F41)</f>
        <v>0</v>
      </c>
      <c r="J42" s="28"/>
      <c r="K42" s="17"/>
      <c r="L42" s="24">
        <v>40</v>
      </c>
      <c r="M42" s="14" t="s">
        <v>44</v>
      </c>
      <c r="AD42" s="6"/>
      <c r="AE42" s="1" t="s">
        <v>122</v>
      </c>
      <c r="AF42" s="1">
        <v>2</v>
      </c>
      <c r="AG42" s="3">
        <f t="shared" si="0"/>
        <v>0</v>
      </c>
      <c r="AH42" s="3">
        <f t="shared" si="1"/>
        <v>0</v>
      </c>
      <c r="AI42" s="8">
        <v>1.28</v>
      </c>
      <c r="AJ42" s="1">
        <v>2</v>
      </c>
      <c r="AL42" s="3">
        <f>SUM(AH42)</f>
        <v>0</v>
      </c>
      <c r="AO42" s="3">
        <v>31.66</v>
      </c>
      <c r="AP42" s="3">
        <f>AG42*AO42</f>
        <v>0</v>
      </c>
      <c r="AQ42" s="1">
        <v>2</v>
      </c>
      <c r="AS42" s="3">
        <f aca="true" t="shared" si="12" ref="AS42:AS47">SUM(AP42)</f>
        <v>0</v>
      </c>
      <c r="AX42" s="3" t="e">
        <f t="shared" si="9"/>
        <v>#DIV/0!</v>
      </c>
      <c r="AY42" s="3" t="e">
        <f t="shared" si="10"/>
        <v>#DIV/0!</v>
      </c>
      <c r="AZ42" s="5"/>
    </row>
    <row r="43" spans="1:52" ht="15">
      <c r="A43" s="14" t="s">
        <v>180</v>
      </c>
      <c r="B43" s="36">
        <f>SUM(ten)</f>
        <v>0</v>
      </c>
      <c r="C43" s="36" t="e">
        <f t="shared" si="11"/>
        <v>#DIV/0!</v>
      </c>
      <c r="D43" s="20" t="s">
        <v>289</v>
      </c>
      <c r="K43" s="17"/>
      <c r="L43" s="24">
        <v>41</v>
      </c>
      <c r="M43" s="14" t="s">
        <v>45</v>
      </c>
      <c r="AD43" s="6"/>
      <c r="AE43" s="1" t="s">
        <v>123</v>
      </c>
      <c r="AF43" s="1">
        <v>2</v>
      </c>
      <c r="AG43" s="3">
        <f t="shared" si="0"/>
        <v>0</v>
      </c>
      <c r="AH43" s="3">
        <f t="shared" si="1"/>
        <v>0</v>
      </c>
      <c r="AI43" s="8">
        <v>1.28</v>
      </c>
      <c r="AJ43" s="1">
        <v>2</v>
      </c>
      <c r="AL43" s="3">
        <f>SUM(AH43)</f>
        <v>0</v>
      </c>
      <c r="AO43" s="3">
        <v>31.66</v>
      </c>
      <c r="AP43" s="3">
        <f t="shared" si="8"/>
        <v>0</v>
      </c>
      <c r="AQ43" s="1">
        <v>2</v>
      </c>
      <c r="AS43" s="3">
        <f t="shared" si="12"/>
        <v>0</v>
      </c>
      <c r="AX43" s="3" t="e">
        <f t="shared" si="9"/>
        <v>#DIV/0!</v>
      </c>
      <c r="AY43" s="3" t="e">
        <f t="shared" si="10"/>
        <v>#DIV/0!</v>
      </c>
      <c r="AZ43" s="5"/>
    </row>
    <row r="44" spans="1:52" ht="14.25">
      <c r="A44" s="14" t="s">
        <v>181</v>
      </c>
      <c r="B44" s="36">
        <f>SUM(II)</f>
        <v>0</v>
      </c>
      <c r="C44" s="36" t="e">
        <f t="shared" si="11"/>
        <v>#DIV/0!</v>
      </c>
      <c r="D44" s="28"/>
      <c r="E44" s="28" t="s">
        <v>265</v>
      </c>
      <c r="F44" s="28" t="s">
        <v>81</v>
      </c>
      <c r="G44" s="28"/>
      <c r="K44" s="17"/>
      <c r="L44" s="24">
        <v>42</v>
      </c>
      <c r="M44" s="14" t="s">
        <v>46</v>
      </c>
      <c r="AD44" s="6"/>
      <c r="AE44" s="1" t="s">
        <v>124</v>
      </c>
      <c r="AF44" s="1">
        <v>2</v>
      </c>
      <c r="AG44" s="3">
        <f t="shared" si="0"/>
        <v>0</v>
      </c>
      <c r="AH44" s="3">
        <f t="shared" si="1"/>
        <v>0</v>
      </c>
      <c r="AI44" s="8">
        <v>1.29</v>
      </c>
      <c r="AJ44" s="1">
        <v>2</v>
      </c>
      <c r="AL44" s="3">
        <f>SUM(AH44)</f>
        <v>0</v>
      </c>
      <c r="AO44" s="3">
        <v>31.66</v>
      </c>
      <c r="AP44" s="3">
        <f t="shared" si="8"/>
        <v>0</v>
      </c>
      <c r="AQ44" s="1">
        <v>2</v>
      </c>
      <c r="AS44" s="3">
        <f t="shared" si="12"/>
        <v>0</v>
      </c>
      <c r="AX44" s="3" t="e">
        <f t="shared" si="9"/>
        <v>#DIV/0!</v>
      </c>
      <c r="AY44" s="3" t="e">
        <f t="shared" si="10"/>
        <v>#DIV/0!</v>
      </c>
      <c r="AZ44" s="5"/>
    </row>
    <row r="45" spans="1:52" ht="14.25">
      <c r="A45" s="14" t="s">
        <v>183</v>
      </c>
      <c r="B45" s="36">
        <f>SUM(B40:B44)</f>
        <v>0</v>
      </c>
      <c r="C45" s="36" t="e">
        <f t="shared" si="11"/>
        <v>#DIV/0!</v>
      </c>
      <c r="D45" s="28" t="s">
        <v>290</v>
      </c>
      <c r="E45" s="28" t="s">
        <v>224</v>
      </c>
      <c r="F45" s="28" t="s">
        <v>224</v>
      </c>
      <c r="G45" s="28"/>
      <c r="K45" s="17"/>
      <c r="L45" s="24">
        <v>43</v>
      </c>
      <c r="M45" s="14" t="s">
        <v>47</v>
      </c>
      <c r="AD45" s="6"/>
      <c r="AE45" s="1" t="s">
        <v>125</v>
      </c>
      <c r="AF45" s="1">
        <v>3</v>
      </c>
      <c r="AG45" s="3">
        <f t="shared" si="0"/>
        <v>0</v>
      </c>
      <c r="AH45" s="3">
        <f t="shared" si="1"/>
        <v>0</v>
      </c>
      <c r="AI45" s="8">
        <v>1.29</v>
      </c>
      <c r="AJ45" s="1">
        <v>2</v>
      </c>
      <c r="AL45" s="3">
        <f>SUM(AH45)</f>
        <v>0</v>
      </c>
      <c r="AO45" s="3">
        <v>31.66</v>
      </c>
      <c r="AP45" s="3">
        <f t="shared" si="8"/>
        <v>0</v>
      </c>
      <c r="AQ45" s="1">
        <v>2</v>
      </c>
      <c r="AS45" s="3">
        <f t="shared" si="12"/>
        <v>0</v>
      </c>
      <c r="AX45" s="3" t="e">
        <f t="shared" si="9"/>
        <v>#DIV/0!</v>
      </c>
      <c r="AY45" s="3" t="e">
        <f t="shared" si="10"/>
        <v>#DIV/0!</v>
      </c>
      <c r="AZ45" s="5"/>
    </row>
    <row r="46" spans="4:52" ht="14.25">
      <c r="D46" s="28" t="s">
        <v>280</v>
      </c>
      <c r="E46" s="28" t="e">
        <f>100*(F31/$F$35)</f>
        <v>#DIV/0!</v>
      </c>
      <c r="F46" s="28" t="e">
        <f>100*(F38/$F$42)</f>
        <v>#DIV/0!</v>
      </c>
      <c r="G46" s="28"/>
      <c r="K46" s="17"/>
      <c r="L46" s="24">
        <v>44</v>
      </c>
      <c r="M46" s="14" t="s">
        <v>48</v>
      </c>
      <c r="AD46" s="6"/>
      <c r="AE46" s="1" t="s">
        <v>126</v>
      </c>
      <c r="AF46" s="1">
        <v>8</v>
      </c>
      <c r="AG46" s="3">
        <f t="shared" si="0"/>
        <v>0</v>
      </c>
      <c r="AH46" s="3">
        <f t="shared" si="1"/>
        <v>0</v>
      </c>
      <c r="AI46" s="8">
        <v>0.75</v>
      </c>
      <c r="AJ46" s="1">
        <v>4</v>
      </c>
      <c r="AN46" s="3">
        <f>SUM(AH46)</f>
        <v>0</v>
      </c>
      <c r="AO46" s="3">
        <v>29.93</v>
      </c>
      <c r="AP46" s="3">
        <f t="shared" si="8"/>
        <v>0</v>
      </c>
      <c r="AQ46" s="1">
        <v>2</v>
      </c>
      <c r="AS46" s="3">
        <f t="shared" si="12"/>
        <v>0</v>
      </c>
      <c r="AX46" s="3" t="e">
        <f t="shared" si="9"/>
        <v>#DIV/0!</v>
      </c>
      <c r="AY46" s="3" t="e">
        <f t="shared" si="10"/>
        <v>#DIV/0!</v>
      </c>
      <c r="AZ46" s="5"/>
    </row>
    <row r="47" spans="1:52" ht="15">
      <c r="A47" s="20" t="s">
        <v>330</v>
      </c>
      <c r="B47" s="36" t="s">
        <v>249</v>
      </c>
      <c r="C47" s="36" t="s">
        <v>182</v>
      </c>
      <c r="D47" s="28" t="s">
        <v>281</v>
      </c>
      <c r="E47" s="28" t="e">
        <f>100*(F32/$F$35)</f>
        <v>#DIV/0!</v>
      </c>
      <c r="F47" s="28" t="e">
        <f>100*(F39/$F$42)</f>
        <v>#DIV/0!</v>
      </c>
      <c r="G47" s="28"/>
      <c r="K47" s="17"/>
      <c r="L47" s="24">
        <v>45</v>
      </c>
      <c r="M47" s="14" t="s">
        <v>49</v>
      </c>
      <c r="AD47" s="6"/>
      <c r="AE47" s="1" t="s">
        <v>127</v>
      </c>
      <c r="AF47" s="1">
        <v>8</v>
      </c>
      <c r="AG47" s="3">
        <f t="shared" si="0"/>
        <v>0</v>
      </c>
      <c r="AH47" s="3">
        <f t="shared" si="1"/>
        <v>0</v>
      </c>
      <c r="AI47" s="8">
        <v>1.33</v>
      </c>
      <c r="AJ47" s="1">
        <v>2</v>
      </c>
      <c r="AL47" s="3">
        <f>SUM(AH47)</f>
        <v>0</v>
      </c>
      <c r="AO47" s="3">
        <v>29.93</v>
      </c>
      <c r="AP47" s="3">
        <f t="shared" si="8"/>
        <v>0</v>
      </c>
      <c r="AQ47" s="1">
        <v>2</v>
      </c>
      <c r="AS47" s="3">
        <f t="shared" si="12"/>
        <v>0</v>
      </c>
      <c r="AX47" s="3" t="e">
        <f t="shared" si="9"/>
        <v>#DIV/0!</v>
      </c>
      <c r="AY47" s="3" t="e">
        <f t="shared" si="10"/>
        <v>#DIV/0!</v>
      </c>
      <c r="AZ47" s="5"/>
    </row>
    <row r="48" spans="1:52" ht="14.25">
      <c r="A48" s="14" t="s">
        <v>331</v>
      </c>
      <c r="B48" s="49">
        <f>SUM(O3:O81)</f>
        <v>0</v>
      </c>
      <c r="C48" s="36" t="e">
        <f>100*(B48/NISP)</f>
        <v>#DIV/0!</v>
      </c>
      <c r="D48" s="28" t="s">
        <v>282</v>
      </c>
      <c r="E48" s="28" t="e">
        <f>100*(F33/$F$35)</f>
        <v>#DIV/0!</v>
      </c>
      <c r="F48" s="28" t="e">
        <f>100*(F40/$F$42)</f>
        <v>#DIV/0!</v>
      </c>
      <c r="G48" s="28"/>
      <c r="K48" s="17"/>
      <c r="L48" s="24">
        <v>46</v>
      </c>
      <c r="M48" s="14" t="s">
        <v>50</v>
      </c>
      <c r="AD48" s="6"/>
      <c r="AE48" s="1" t="s">
        <v>128</v>
      </c>
      <c r="AF48" s="1">
        <v>8</v>
      </c>
      <c r="AG48" s="3">
        <f>N40/AF48</f>
        <v>0</v>
      </c>
      <c r="AH48" s="3">
        <f t="shared" si="1"/>
        <v>0</v>
      </c>
      <c r="AI48" s="8">
        <v>1.2</v>
      </c>
      <c r="AJ48" s="1">
        <v>3</v>
      </c>
      <c r="AM48" s="3">
        <f>SUM(AH48)</f>
        <v>0</v>
      </c>
      <c r="AO48" s="3">
        <v>23.93</v>
      </c>
      <c r="AP48" s="3">
        <f t="shared" si="8"/>
        <v>0</v>
      </c>
      <c r="AQ48" s="1">
        <v>3</v>
      </c>
      <c r="AT48" s="3">
        <f>SUM(AP48)</f>
        <v>0</v>
      </c>
      <c r="AX48" s="3" t="e">
        <f t="shared" si="9"/>
        <v>#DIV/0!</v>
      </c>
      <c r="AY48" s="3" t="e">
        <f t="shared" si="10"/>
        <v>#DIV/0!</v>
      </c>
      <c r="AZ48" s="5"/>
    </row>
    <row r="49" spans="1:52" ht="14.25">
      <c r="A49" s="14" t="s">
        <v>332</v>
      </c>
      <c r="B49" s="49">
        <f>SUM(P3:P81)</f>
        <v>0</v>
      </c>
      <c r="C49" s="36" t="e">
        <f>100*(B49/NISP)</f>
        <v>#DIV/0!</v>
      </c>
      <c r="D49" s="28" t="s">
        <v>283</v>
      </c>
      <c r="E49" s="28" t="e">
        <f>100*(F34/$F$35)</f>
        <v>#DIV/0!</v>
      </c>
      <c r="F49" s="28" t="e">
        <f>100*(F41/$F$42)</f>
        <v>#DIV/0!</v>
      </c>
      <c r="G49" s="28"/>
      <c r="K49" s="17"/>
      <c r="L49" s="24">
        <v>47</v>
      </c>
      <c r="M49" s="14" t="s">
        <v>51</v>
      </c>
      <c r="AD49" s="6"/>
      <c r="AE49" s="1" t="s">
        <v>129</v>
      </c>
      <c r="AF49" s="1">
        <v>8</v>
      </c>
      <c r="AG49" s="3">
        <f aca="true" t="shared" si="13" ref="AG49:AG81">N49/AF49</f>
        <v>0</v>
      </c>
      <c r="AH49" s="3">
        <f t="shared" si="1"/>
        <v>0</v>
      </c>
      <c r="AI49" s="8">
        <v>1</v>
      </c>
      <c r="AJ49" s="1">
        <v>3</v>
      </c>
      <c r="AM49" s="3">
        <f>SUM(AH49)</f>
        <v>0</v>
      </c>
      <c r="AO49" s="3">
        <f>(29.93+23.93)/2</f>
        <v>26.93</v>
      </c>
      <c r="AP49" s="3">
        <f t="shared" si="8"/>
        <v>0</v>
      </c>
      <c r="AQ49" s="1">
        <v>2</v>
      </c>
      <c r="AS49" s="3">
        <f>SUM(AP49)</f>
        <v>0</v>
      </c>
      <c r="AX49" s="3" t="e">
        <f t="shared" si="9"/>
        <v>#DIV/0!</v>
      </c>
      <c r="AY49" s="3" t="e">
        <f t="shared" si="10"/>
        <v>#DIV/0!</v>
      </c>
      <c r="AZ49" s="5"/>
    </row>
    <row r="50" spans="5:52" ht="14.25">
      <c r="E50" s="28"/>
      <c r="F50" s="28"/>
      <c r="G50" s="28"/>
      <c r="K50" s="17"/>
      <c r="L50" s="24">
        <v>48</v>
      </c>
      <c r="M50" s="14" t="s">
        <v>52</v>
      </c>
      <c r="AD50" s="6"/>
      <c r="AE50" s="1" t="s">
        <v>130</v>
      </c>
      <c r="AF50" s="1">
        <v>16</v>
      </c>
      <c r="AG50" s="3">
        <f t="shared" si="13"/>
        <v>0</v>
      </c>
      <c r="AH50" s="3">
        <f t="shared" si="1"/>
        <v>0</v>
      </c>
      <c r="AI50" s="8">
        <v>0.75</v>
      </c>
      <c r="AJ50" s="1">
        <v>4</v>
      </c>
      <c r="AN50" s="3">
        <f>SUM(AH50)</f>
        <v>0</v>
      </c>
      <c r="AO50" s="3">
        <f>(12.18+29.93)/2</f>
        <v>21.055</v>
      </c>
      <c r="AP50" s="3">
        <f t="shared" si="8"/>
        <v>0</v>
      </c>
      <c r="AQ50" s="1">
        <v>3</v>
      </c>
      <c r="AT50" s="3">
        <f>SUM(AP50)</f>
        <v>0</v>
      </c>
      <c r="AX50" s="3" t="e">
        <f t="shared" si="9"/>
        <v>#DIV/0!</v>
      </c>
      <c r="AY50" s="3" t="e">
        <f t="shared" si="10"/>
        <v>#DIV/0!</v>
      </c>
      <c r="AZ50" s="5"/>
    </row>
    <row r="51" spans="10:52" ht="14.25">
      <c r="J51" s="28"/>
      <c r="K51" s="17"/>
      <c r="L51" s="24">
        <v>49</v>
      </c>
      <c r="M51" s="14" t="s">
        <v>53</v>
      </c>
      <c r="AD51" s="6"/>
      <c r="AE51" s="1" t="s">
        <v>131</v>
      </c>
      <c r="AF51" s="1">
        <v>16</v>
      </c>
      <c r="AG51" s="3">
        <f t="shared" si="13"/>
        <v>0</v>
      </c>
      <c r="AH51" s="3">
        <f t="shared" si="1"/>
        <v>0</v>
      </c>
      <c r="AI51" s="8">
        <v>1.29</v>
      </c>
      <c r="AJ51" s="1">
        <v>2</v>
      </c>
      <c r="AL51" s="3">
        <f>SUM(AH51)</f>
        <v>0</v>
      </c>
      <c r="AO51" s="3">
        <f>(12.18+29.93)/2</f>
        <v>21.055</v>
      </c>
      <c r="AP51" s="3">
        <f t="shared" si="8"/>
        <v>0</v>
      </c>
      <c r="AQ51" s="1">
        <v>3</v>
      </c>
      <c r="AT51" s="3">
        <f>SUM(AP51)</f>
        <v>0</v>
      </c>
      <c r="AX51" s="3" t="e">
        <f t="shared" si="9"/>
        <v>#DIV/0!</v>
      </c>
      <c r="AY51" s="3" t="e">
        <f t="shared" si="10"/>
        <v>#DIV/0!</v>
      </c>
      <c r="AZ51" s="5"/>
    </row>
    <row r="52" spans="1:52" ht="15">
      <c r="A52" s="29" t="s">
        <v>245</v>
      </c>
      <c r="C52" s="36"/>
      <c r="D52" s="29" t="s">
        <v>291</v>
      </c>
      <c r="E52" s="28"/>
      <c r="F52" s="28"/>
      <c r="G52" s="28"/>
      <c r="I52" s="28"/>
      <c r="J52" s="28"/>
      <c r="K52" s="17"/>
      <c r="L52" s="24">
        <v>50</v>
      </c>
      <c r="M52" s="14" t="s">
        <v>54</v>
      </c>
      <c r="AD52" s="6"/>
      <c r="AE52" s="1" t="s">
        <v>132</v>
      </c>
      <c r="AF52" s="1">
        <v>16</v>
      </c>
      <c r="AG52" s="3">
        <f t="shared" si="13"/>
        <v>0</v>
      </c>
      <c r="AH52" s="3">
        <f t="shared" si="1"/>
        <v>0</v>
      </c>
      <c r="AI52" s="8">
        <v>1.24</v>
      </c>
      <c r="AJ52" s="1">
        <v>3</v>
      </c>
      <c r="AM52" s="3">
        <f aca="true" t="shared" si="14" ref="AM52:AM57">SUM(AH52)</f>
        <v>0</v>
      </c>
      <c r="AO52" s="3">
        <f>(AO40+AO48)/2</f>
        <v>17.215</v>
      </c>
      <c r="AP52" s="3">
        <f t="shared" si="8"/>
        <v>0</v>
      </c>
      <c r="AQ52" s="1">
        <v>2</v>
      </c>
      <c r="AS52" s="3">
        <f>SUM(AP52)</f>
        <v>0</v>
      </c>
      <c r="AX52" s="3" t="e">
        <f t="shared" si="9"/>
        <v>#DIV/0!</v>
      </c>
      <c r="AY52" s="3" t="e">
        <f t="shared" si="10"/>
        <v>#DIV/0!</v>
      </c>
      <c r="AZ52" s="5"/>
    </row>
    <row r="53" spans="2:52" ht="14.25">
      <c r="B53" s="36" t="s">
        <v>246</v>
      </c>
      <c r="C53" s="36" t="s">
        <v>247</v>
      </c>
      <c r="E53" s="14" t="s">
        <v>2</v>
      </c>
      <c r="F53" s="28" t="s">
        <v>174</v>
      </c>
      <c r="G53" s="14" t="s">
        <v>250</v>
      </c>
      <c r="H53" s="28" t="s">
        <v>254</v>
      </c>
      <c r="J53" s="28"/>
      <c r="K53" s="17"/>
      <c r="L53" s="24">
        <v>51</v>
      </c>
      <c r="M53" s="14" t="s">
        <v>55</v>
      </c>
      <c r="AD53" s="6"/>
      <c r="AE53" s="1" t="s">
        <v>133</v>
      </c>
      <c r="AF53" s="1">
        <v>16</v>
      </c>
      <c r="AG53" s="3">
        <f t="shared" si="13"/>
        <v>0</v>
      </c>
      <c r="AH53" s="3">
        <f t="shared" si="1"/>
        <v>0</v>
      </c>
      <c r="AI53" s="8">
        <v>1</v>
      </c>
      <c r="AJ53" s="1">
        <v>3</v>
      </c>
      <c r="AM53" s="3">
        <f t="shared" si="14"/>
        <v>0</v>
      </c>
      <c r="AO53" s="3">
        <f>(AO51+AO52)/2</f>
        <v>19.134999999999998</v>
      </c>
      <c r="AP53" s="3">
        <f t="shared" si="8"/>
        <v>0</v>
      </c>
      <c r="AQ53" s="1">
        <v>1</v>
      </c>
      <c r="AR53" s="3">
        <f>SUM(AP53)</f>
        <v>0</v>
      </c>
      <c r="AX53" s="3" t="e">
        <f t="shared" si="9"/>
        <v>#DIV/0!</v>
      </c>
      <c r="AY53" s="3" t="e">
        <f t="shared" si="10"/>
        <v>#DIV/0!</v>
      </c>
      <c r="AZ53" s="5"/>
    </row>
    <row r="54" spans="1:52" ht="14.25">
      <c r="A54" s="14" t="s">
        <v>203</v>
      </c>
      <c r="B54" s="36">
        <f>SUM(AG3:AG10)</f>
        <v>0</v>
      </c>
      <c r="C54" s="36" t="e">
        <f>100*(B54/$B$62)</f>
        <v>#DIV/0!</v>
      </c>
      <c r="D54" s="14" t="s">
        <v>255</v>
      </c>
      <c r="E54" s="35">
        <f>SUM(N3)</f>
        <v>0</v>
      </c>
      <c r="F54" s="28">
        <f>E54/2</f>
        <v>0</v>
      </c>
      <c r="G54" s="28" t="e">
        <f aca="true" t="shared" si="15" ref="G54:G75">100*(F54/$F$76)</f>
        <v>#DIV/0!</v>
      </c>
      <c r="H54" s="28" t="e">
        <f aca="true" t="shared" si="16" ref="H54:H74">100*(F54/MNI)</f>
        <v>#DIV/0!</v>
      </c>
      <c r="J54" s="28"/>
      <c r="K54" s="17"/>
      <c r="L54" s="24">
        <v>52</v>
      </c>
      <c r="M54" s="14" t="s">
        <v>56</v>
      </c>
      <c r="AD54" s="6"/>
      <c r="AE54" s="1" t="s">
        <v>134</v>
      </c>
      <c r="AF54" s="1">
        <v>16</v>
      </c>
      <c r="AG54" s="3">
        <f t="shared" si="13"/>
        <v>0</v>
      </c>
      <c r="AH54" s="3">
        <f t="shared" si="1"/>
        <v>0</v>
      </c>
      <c r="AI54" s="8">
        <v>0.9</v>
      </c>
      <c r="AJ54" s="1">
        <v>3</v>
      </c>
      <c r="AM54" s="3">
        <f t="shared" si="14"/>
        <v>0</v>
      </c>
      <c r="AO54" s="3">
        <v>13.72</v>
      </c>
      <c r="AP54" s="3">
        <f t="shared" si="8"/>
        <v>0</v>
      </c>
      <c r="AQ54" s="1">
        <v>3</v>
      </c>
      <c r="AT54" s="3">
        <f>SUM(AP54)</f>
        <v>0</v>
      </c>
      <c r="AX54" s="3" t="e">
        <f t="shared" si="9"/>
        <v>#DIV/0!</v>
      </c>
      <c r="AY54" s="3" t="e">
        <f t="shared" si="10"/>
        <v>#DIV/0!</v>
      </c>
      <c r="AZ54" s="5"/>
    </row>
    <row r="55" spans="1:52" ht="14.25">
      <c r="A55" s="14" t="s">
        <v>11</v>
      </c>
      <c r="B55" s="36">
        <f>SUM(AG9)</f>
        <v>0</v>
      </c>
      <c r="C55" s="36" t="e">
        <f aca="true" t="shared" si="17" ref="C55:C62">100*(B55/$B$62)</f>
        <v>#DIV/0!</v>
      </c>
      <c r="D55" s="14" t="s">
        <v>11</v>
      </c>
      <c r="E55" s="35">
        <f>SUM(N9)</f>
        <v>0</v>
      </c>
      <c r="F55" s="28">
        <f>E55/2</f>
        <v>0</v>
      </c>
      <c r="G55" s="28" t="e">
        <f t="shared" si="15"/>
        <v>#DIV/0!</v>
      </c>
      <c r="H55" s="28" t="e">
        <f t="shared" si="16"/>
        <v>#DIV/0!</v>
      </c>
      <c r="J55" s="28"/>
      <c r="K55" s="17"/>
      <c r="L55" s="24">
        <v>53</v>
      </c>
      <c r="M55" s="14" t="s">
        <v>57</v>
      </c>
      <c r="AD55" s="6"/>
      <c r="AE55" s="1" t="s">
        <v>135</v>
      </c>
      <c r="AF55" s="1">
        <v>16</v>
      </c>
      <c r="AG55" s="3">
        <f t="shared" si="13"/>
        <v>0</v>
      </c>
      <c r="AH55" s="3">
        <f t="shared" si="1"/>
        <v>0</v>
      </c>
      <c r="AI55" s="8">
        <v>0.9</v>
      </c>
      <c r="AJ55" s="1">
        <v>3</v>
      </c>
      <c r="AM55" s="3">
        <f t="shared" si="14"/>
        <v>0</v>
      </c>
      <c r="AO55" s="3">
        <v>13.72</v>
      </c>
      <c r="AP55" s="3">
        <f t="shared" si="8"/>
        <v>0</v>
      </c>
      <c r="AQ55" s="1">
        <v>3</v>
      </c>
      <c r="AT55" s="3">
        <f aca="true" t="shared" si="18" ref="AT55:AT65">SUM(AP55)</f>
        <v>0</v>
      </c>
      <c r="AX55" s="3" t="e">
        <f t="shared" si="9"/>
        <v>#DIV/0!</v>
      </c>
      <c r="AY55" s="3" t="e">
        <f t="shared" si="10"/>
        <v>#DIV/0!</v>
      </c>
      <c r="AZ55" s="5"/>
    </row>
    <row r="56" spans="1:52" ht="14.25">
      <c r="A56" s="14" t="s">
        <v>239</v>
      </c>
      <c r="B56" s="36">
        <f>SUM(AG25:AG36)</f>
        <v>0</v>
      </c>
      <c r="C56" s="36" t="e">
        <f t="shared" si="17"/>
        <v>#DIV/0!</v>
      </c>
      <c r="D56" s="28" t="s">
        <v>18</v>
      </c>
      <c r="E56" s="35">
        <f>SUM(N16)</f>
        <v>0</v>
      </c>
      <c r="F56" s="28">
        <f>E56/1</f>
        <v>0</v>
      </c>
      <c r="G56" s="28" t="e">
        <f t="shared" si="15"/>
        <v>#DIV/0!</v>
      </c>
      <c r="H56" s="28" t="e">
        <f t="shared" si="16"/>
        <v>#DIV/0!</v>
      </c>
      <c r="J56" s="28"/>
      <c r="K56" s="17"/>
      <c r="L56" s="24">
        <v>54</v>
      </c>
      <c r="M56" s="14" t="s">
        <v>58</v>
      </c>
      <c r="AD56" s="6"/>
      <c r="AE56" s="1" t="s">
        <v>136</v>
      </c>
      <c r="AF56" s="1">
        <v>16</v>
      </c>
      <c r="AG56" s="3">
        <f t="shared" si="13"/>
        <v>0</v>
      </c>
      <c r="AH56" s="3">
        <f t="shared" si="1"/>
        <v>0</v>
      </c>
      <c r="AI56" s="8">
        <v>0.9</v>
      </c>
      <c r="AJ56" s="1">
        <v>3</v>
      </c>
      <c r="AM56" s="3">
        <f t="shared" si="14"/>
        <v>0</v>
      </c>
      <c r="AO56" s="3">
        <v>13.72</v>
      </c>
      <c r="AP56" s="3">
        <f t="shared" si="8"/>
        <v>0</v>
      </c>
      <c r="AQ56" s="1">
        <v>3</v>
      </c>
      <c r="AT56" s="3">
        <f t="shared" si="18"/>
        <v>0</v>
      </c>
      <c r="AX56" s="3" t="e">
        <f t="shared" si="9"/>
        <v>#DIV/0!</v>
      </c>
      <c r="AY56" s="3" t="e">
        <f t="shared" si="10"/>
        <v>#DIV/0!</v>
      </c>
      <c r="AZ56" s="5"/>
    </row>
    <row r="57" spans="1:52" ht="14.25">
      <c r="A57" s="14" t="s">
        <v>240</v>
      </c>
      <c r="B57" s="36">
        <f>SUM(AG16:AG22)+AG24</f>
        <v>0</v>
      </c>
      <c r="C57" s="36" t="e">
        <f t="shared" si="17"/>
        <v>#DIV/0!</v>
      </c>
      <c r="D57" s="14" t="s">
        <v>19</v>
      </c>
      <c r="E57" s="35">
        <f>SUM(N17)</f>
        <v>0</v>
      </c>
      <c r="F57" s="28">
        <f>E57/1</f>
        <v>0</v>
      </c>
      <c r="G57" s="28" t="e">
        <f t="shared" si="15"/>
        <v>#DIV/0!</v>
      </c>
      <c r="H57" s="28" t="e">
        <f t="shared" si="16"/>
        <v>#DIV/0!</v>
      </c>
      <c r="J57" s="28"/>
      <c r="K57" s="17"/>
      <c r="L57" s="24">
        <v>55</v>
      </c>
      <c r="M57" s="14" t="s">
        <v>59</v>
      </c>
      <c r="AD57" s="6"/>
      <c r="AE57" s="1" t="s">
        <v>137</v>
      </c>
      <c r="AF57" s="1">
        <v>16</v>
      </c>
      <c r="AG57" s="3">
        <f t="shared" si="13"/>
        <v>0</v>
      </c>
      <c r="AH57" s="3">
        <f t="shared" si="1"/>
        <v>0</v>
      </c>
      <c r="AI57" s="8">
        <v>0.9</v>
      </c>
      <c r="AJ57" s="1">
        <v>3</v>
      </c>
      <c r="AM57" s="3">
        <f t="shared" si="14"/>
        <v>0</v>
      </c>
      <c r="AO57" s="3">
        <v>13.72</v>
      </c>
      <c r="AP57" s="3">
        <f t="shared" si="8"/>
        <v>0</v>
      </c>
      <c r="AQ57" s="1">
        <v>3</v>
      </c>
      <c r="AT57" s="3">
        <f t="shared" si="18"/>
        <v>0</v>
      </c>
      <c r="AX57" s="3" t="e">
        <f t="shared" si="9"/>
        <v>#DIV/0!</v>
      </c>
      <c r="AY57" s="3" t="e">
        <f t="shared" si="10"/>
        <v>#DIV/0!</v>
      </c>
      <c r="AZ57" s="5"/>
    </row>
    <row r="58" spans="1:52" ht="14.25">
      <c r="A58" s="14" t="s">
        <v>241</v>
      </c>
      <c r="B58" s="36">
        <f>SUM(AG66:AG74)+AG23</f>
        <v>0</v>
      </c>
      <c r="C58" s="36" t="e">
        <f t="shared" si="17"/>
        <v>#DIV/0!</v>
      </c>
      <c r="D58" s="14" t="s">
        <v>27</v>
      </c>
      <c r="E58" s="35">
        <f>SUM(N25)</f>
        <v>0</v>
      </c>
      <c r="F58" s="28">
        <f>E58/2</f>
        <v>0</v>
      </c>
      <c r="G58" s="28" t="e">
        <f t="shared" si="15"/>
        <v>#DIV/0!</v>
      </c>
      <c r="H58" s="28" t="e">
        <f t="shared" si="16"/>
        <v>#DIV/0!</v>
      </c>
      <c r="J58" s="28"/>
      <c r="K58" s="17"/>
      <c r="L58" s="24">
        <v>56</v>
      </c>
      <c r="M58" s="14" t="s">
        <v>60</v>
      </c>
      <c r="AD58" s="6"/>
      <c r="AE58" s="1" t="s">
        <v>138</v>
      </c>
      <c r="AF58" s="1">
        <v>16</v>
      </c>
      <c r="AG58" s="3">
        <f t="shared" si="13"/>
        <v>0</v>
      </c>
      <c r="AH58" s="3">
        <f t="shared" si="1"/>
        <v>0</v>
      </c>
      <c r="AI58" s="8">
        <v>0.81</v>
      </c>
      <c r="AJ58" s="1">
        <v>4</v>
      </c>
      <c r="AN58" s="3">
        <f aca="true" t="shared" si="19" ref="AN58:AN66">SUM(AH58)</f>
        <v>0</v>
      </c>
      <c r="AO58" s="3">
        <v>13.72</v>
      </c>
      <c r="AP58" s="3">
        <f t="shared" si="8"/>
        <v>0</v>
      </c>
      <c r="AQ58" s="1">
        <v>3</v>
      </c>
      <c r="AT58" s="3">
        <f t="shared" si="18"/>
        <v>0</v>
      </c>
      <c r="AX58" s="3" t="e">
        <f t="shared" si="9"/>
        <v>#DIV/0!</v>
      </c>
      <c r="AY58" s="3" t="e">
        <f t="shared" si="10"/>
        <v>#DIV/0!</v>
      </c>
      <c r="AZ58" s="5"/>
    </row>
    <row r="59" spans="1:52" ht="14.25">
      <c r="A59" s="14" t="s">
        <v>242</v>
      </c>
      <c r="B59" s="36">
        <f>SUM(AG37:AG41)</f>
        <v>0</v>
      </c>
      <c r="C59" s="36" t="e">
        <f t="shared" si="17"/>
        <v>#DIV/0!</v>
      </c>
      <c r="D59" s="14" t="s">
        <v>311</v>
      </c>
      <c r="E59" s="35">
        <f>SUM(N23)</f>
        <v>0</v>
      </c>
      <c r="F59" s="28">
        <f>E59/2</f>
        <v>0</v>
      </c>
      <c r="G59" s="28" t="e">
        <f t="shared" si="15"/>
        <v>#DIV/0!</v>
      </c>
      <c r="H59" s="28" t="e">
        <f t="shared" si="16"/>
        <v>#DIV/0!</v>
      </c>
      <c r="J59" s="28"/>
      <c r="K59" s="17"/>
      <c r="L59" s="24">
        <v>57</v>
      </c>
      <c r="M59" s="14" t="s">
        <v>61</v>
      </c>
      <c r="AD59" s="6"/>
      <c r="AE59" s="1" t="s">
        <v>139</v>
      </c>
      <c r="AF59" s="1">
        <v>16</v>
      </c>
      <c r="AG59" s="3">
        <f t="shared" si="13"/>
        <v>0</v>
      </c>
      <c r="AH59" s="3">
        <f t="shared" si="1"/>
        <v>0</v>
      </c>
      <c r="AI59" s="8">
        <v>0.81</v>
      </c>
      <c r="AJ59" s="1">
        <v>4</v>
      </c>
      <c r="AN59" s="3">
        <f t="shared" si="19"/>
        <v>0</v>
      </c>
      <c r="AO59" s="3">
        <v>13.72</v>
      </c>
      <c r="AP59" s="3">
        <f t="shared" si="8"/>
        <v>0</v>
      </c>
      <c r="AQ59" s="1">
        <v>3</v>
      </c>
      <c r="AT59" s="3">
        <f t="shared" si="18"/>
        <v>0</v>
      </c>
      <c r="AX59" s="3" t="e">
        <f t="shared" si="9"/>
        <v>#DIV/0!</v>
      </c>
      <c r="AY59" s="3" t="e">
        <f t="shared" si="10"/>
        <v>#DIV/0!</v>
      </c>
      <c r="AZ59" s="5"/>
    </row>
    <row r="60" spans="1:52" ht="14.25">
      <c r="A60" s="14" t="s">
        <v>243</v>
      </c>
      <c r="B60" s="36">
        <f>SUM(AG42:AG49)</f>
        <v>0</v>
      </c>
      <c r="C60" s="36" t="e">
        <f t="shared" si="17"/>
        <v>#DIV/0!</v>
      </c>
      <c r="D60" s="14" t="s">
        <v>312</v>
      </c>
      <c r="E60" s="35">
        <f>SUM(N27)</f>
        <v>0</v>
      </c>
      <c r="F60" s="28">
        <f aca="true" t="shared" si="20" ref="F60:F74">E60/2</f>
        <v>0</v>
      </c>
      <c r="G60" s="28" t="e">
        <f t="shared" si="15"/>
        <v>#DIV/0!</v>
      </c>
      <c r="H60" s="28" t="e">
        <f t="shared" si="16"/>
        <v>#DIV/0!</v>
      </c>
      <c r="J60" s="28"/>
      <c r="K60" s="17"/>
      <c r="L60" s="24">
        <v>58</v>
      </c>
      <c r="M60" s="14" t="s">
        <v>62</v>
      </c>
      <c r="AD60" s="6"/>
      <c r="AE60" s="1" t="s">
        <v>140</v>
      </c>
      <c r="AF60" s="1">
        <v>16</v>
      </c>
      <c r="AG60" s="3">
        <f t="shared" si="13"/>
        <v>0</v>
      </c>
      <c r="AH60" s="3">
        <f t="shared" si="1"/>
        <v>0</v>
      </c>
      <c r="AI60" s="8">
        <v>0.81</v>
      </c>
      <c r="AJ60" s="1">
        <v>4</v>
      </c>
      <c r="AN60" s="3">
        <f t="shared" si="19"/>
        <v>0</v>
      </c>
      <c r="AO60" s="3">
        <v>13.72</v>
      </c>
      <c r="AP60" s="3">
        <f t="shared" si="8"/>
        <v>0</v>
      </c>
      <c r="AQ60" s="1">
        <v>3</v>
      </c>
      <c r="AT60" s="3">
        <f t="shared" si="18"/>
        <v>0</v>
      </c>
      <c r="AX60" s="3" t="e">
        <f t="shared" si="9"/>
        <v>#DIV/0!</v>
      </c>
      <c r="AY60" s="3" t="e">
        <f t="shared" si="10"/>
        <v>#DIV/0!</v>
      </c>
      <c r="AZ60" s="5"/>
    </row>
    <row r="61" spans="1:52" ht="14.25">
      <c r="A61" s="14" t="s">
        <v>244</v>
      </c>
      <c r="B61" s="36">
        <f>SUM(AG54:AG65)</f>
        <v>0</v>
      </c>
      <c r="C61" s="36" t="e">
        <f t="shared" si="17"/>
        <v>#DIV/0!</v>
      </c>
      <c r="D61" s="14" t="s">
        <v>313</v>
      </c>
      <c r="E61" s="35">
        <f>SUM(N28)</f>
        <v>0</v>
      </c>
      <c r="F61" s="28">
        <f t="shared" si="20"/>
        <v>0</v>
      </c>
      <c r="G61" s="28" t="e">
        <f t="shared" si="15"/>
        <v>#DIV/0!</v>
      </c>
      <c r="H61" s="28" t="e">
        <f t="shared" si="16"/>
        <v>#DIV/0!</v>
      </c>
      <c r="J61" s="28"/>
      <c r="K61" s="17"/>
      <c r="L61" s="24">
        <v>59</v>
      </c>
      <c r="M61" s="14" t="s">
        <v>63</v>
      </c>
      <c r="AD61" s="6"/>
      <c r="AE61" s="1" t="s">
        <v>141</v>
      </c>
      <c r="AF61" s="1">
        <v>16</v>
      </c>
      <c r="AG61" s="3">
        <f t="shared" si="13"/>
        <v>0</v>
      </c>
      <c r="AH61" s="3">
        <f t="shared" si="1"/>
        <v>0</v>
      </c>
      <c r="AI61" s="8">
        <v>0.81</v>
      </c>
      <c r="AJ61" s="1">
        <v>4</v>
      </c>
      <c r="AN61" s="3">
        <f t="shared" si="19"/>
        <v>0</v>
      </c>
      <c r="AO61" s="3">
        <v>13.72</v>
      </c>
      <c r="AP61" s="3">
        <f t="shared" si="8"/>
        <v>0</v>
      </c>
      <c r="AQ61" s="1">
        <v>3</v>
      </c>
      <c r="AT61" s="3">
        <f t="shared" si="18"/>
        <v>0</v>
      </c>
      <c r="AX61" s="3" t="e">
        <f t="shared" si="9"/>
        <v>#DIV/0!</v>
      </c>
      <c r="AY61" s="3" t="e">
        <f t="shared" si="10"/>
        <v>#DIV/0!</v>
      </c>
      <c r="AZ61" s="5"/>
    </row>
    <row r="62" spans="1:52" ht="14.25">
      <c r="A62" s="37" t="s">
        <v>248</v>
      </c>
      <c r="B62" s="36">
        <f>SUM(B54:B61)</f>
        <v>0</v>
      </c>
      <c r="C62" s="36" t="e">
        <f t="shared" si="17"/>
        <v>#DIV/0!</v>
      </c>
      <c r="D62" s="14" t="s">
        <v>314</v>
      </c>
      <c r="E62" s="35">
        <f>SUM(N67)</f>
        <v>0</v>
      </c>
      <c r="F62" s="28">
        <f t="shared" si="20"/>
        <v>0</v>
      </c>
      <c r="G62" s="28" t="e">
        <f t="shared" si="15"/>
        <v>#DIV/0!</v>
      </c>
      <c r="H62" s="28" t="e">
        <f t="shared" si="16"/>
        <v>#DIV/0!</v>
      </c>
      <c r="J62" s="28"/>
      <c r="K62" s="17"/>
      <c r="L62" s="24">
        <v>60</v>
      </c>
      <c r="M62" s="14" t="s">
        <v>64</v>
      </c>
      <c r="AD62" s="6"/>
      <c r="AE62" s="1" t="s">
        <v>142</v>
      </c>
      <c r="AF62" s="1">
        <v>16</v>
      </c>
      <c r="AG62" s="3">
        <f t="shared" si="13"/>
        <v>0</v>
      </c>
      <c r="AH62" s="3">
        <f t="shared" si="1"/>
        <v>0</v>
      </c>
      <c r="AI62" s="8">
        <v>0.76</v>
      </c>
      <c r="AJ62" s="1">
        <v>4</v>
      </c>
      <c r="AN62" s="3">
        <f t="shared" si="19"/>
        <v>0</v>
      </c>
      <c r="AO62" s="3">
        <v>13.72</v>
      </c>
      <c r="AP62" s="3">
        <f t="shared" si="8"/>
        <v>0</v>
      </c>
      <c r="AQ62" s="1">
        <v>3</v>
      </c>
      <c r="AT62" s="3">
        <f t="shared" si="18"/>
        <v>0</v>
      </c>
      <c r="AX62" s="3" t="e">
        <f t="shared" si="9"/>
        <v>#DIV/0!</v>
      </c>
      <c r="AY62" s="3" t="e">
        <f t="shared" si="10"/>
        <v>#DIV/0!</v>
      </c>
      <c r="AZ62" s="5"/>
    </row>
    <row r="63" spans="2:52" ht="14.25">
      <c r="B63" s="36"/>
      <c r="C63" s="36"/>
      <c r="D63" s="14" t="s">
        <v>315</v>
      </c>
      <c r="E63" s="35">
        <f>SUM(N68)</f>
        <v>0</v>
      </c>
      <c r="F63" s="28">
        <f t="shared" si="20"/>
        <v>0</v>
      </c>
      <c r="G63" s="28" t="e">
        <f t="shared" si="15"/>
        <v>#DIV/0!</v>
      </c>
      <c r="H63" s="28" t="e">
        <f t="shared" si="16"/>
        <v>#DIV/0!</v>
      </c>
      <c r="J63" s="28"/>
      <c r="K63" s="17"/>
      <c r="L63" s="24">
        <v>61</v>
      </c>
      <c r="M63" s="14" t="s">
        <v>65</v>
      </c>
      <c r="AD63" s="6"/>
      <c r="AE63" s="1" t="s">
        <v>143</v>
      </c>
      <c r="AF63" s="1">
        <v>16</v>
      </c>
      <c r="AG63" s="3">
        <f t="shared" si="13"/>
        <v>0</v>
      </c>
      <c r="AH63" s="3">
        <f t="shared" si="1"/>
        <v>0</v>
      </c>
      <c r="AI63" s="8">
        <v>0.76</v>
      </c>
      <c r="AJ63" s="1">
        <v>4</v>
      </c>
      <c r="AN63" s="3">
        <f t="shared" si="19"/>
        <v>0</v>
      </c>
      <c r="AO63" s="3">
        <v>13.72</v>
      </c>
      <c r="AP63" s="3">
        <f t="shared" si="8"/>
        <v>0</v>
      </c>
      <c r="AQ63" s="1">
        <v>3</v>
      </c>
      <c r="AT63" s="3">
        <f t="shared" si="18"/>
        <v>0</v>
      </c>
      <c r="AX63" s="3" t="e">
        <f t="shared" si="9"/>
        <v>#DIV/0!</v>
      </c>
      <c r="AY63" s="3" t="e">
        <f t="shared" si="10"/>
        <v>#DIV/0!</v>
      </c>
      <c r="AZ63" s="5"/>
    </row>
    <row r="64" spans="1:52" ht="15">
      <c r="A64" s="38" t="s">
        <v>286</v>
      </c>
      <c r="B64" s="36"/>
      <c r="C64" s="36"/>
      <c r="D64" s="14" t="s">
        <v>316</v>
      </c>
      <c r="E64" s="35">
        <f>SUM(N34:N36)</f>
        <v>0</v>
      </c>
      <c r="F64" s="28">
        <f t="shared" si="20"/>
        <v>0</v>
      </c>
      <c r="G64" s="28" t="e">
        <f t="shared" si="15"/>
        <v>#DIV/0!</v>
      </c>
      <c r="H64" s="28" t="e">
        <f t="shared" si="16"/>
        <v>#DIV/0!</v>
      </c>
      <c r="K64" s="17"/>
      <c r="L64" s="24">
        <v>62</v>
      </c>
      <c r="M64" s="14" t="s">
        <v>66</v>
      </c>
      <c r="AD64" s="6"/>
      <c r="AE64" s="1" t="s">
        <v>144</v>
      </c>
      <c r="AF64" s="1">
        <v>16</v>
      </c>
      <c r="AG64" s="3">
        <f t="shared" si="13"/>
        <v>0</v>
      </c>
      <c r="AH64" s="3">
        <f t="shared" si="1"/>
        <v>0</v>
      </c>
      <c r="AI64" s="8">
        <v>0.76</v>
      </c>
      <c r="AJ64" s="1">
        <v>4</v>
      </c>
      <c r="AN64" s="3">
        <f t="shared" si="19"/>
        <v>0</v>
      </c>
      <c r="AO64" s="3">
        <v>13.72</v>
      </c>
      <c r="AP64" s="3">
        <f t="shared" si="8"/>
        <v>0</v>
      </c>
      <c r="AQ64" s="1">
        <v>3</v>
      </c>
      <c r="AT64" s="3">
        <f t="shared" si="18"/>
        <v>0</v>
      </c>
      <c r="AX64" s="3" t="e">
        <f t="shared" si="9"/>
        <v>#DIV/0!</v>
      </c>
      <c r="AY64" s="3" t="e">
        <f t="shared" si="10"/>
        <v>#DIV/0!</v>
      </c>
      <c r="AZ64" s="5"/>
    </row>
    <row r="65" spans="1:52" ht="13.5">
      <c r="A65" s="28"/>
      <c r="B65" s="36" t="s">
        <v>201</v>
      </c>
      <c r="C65" s="36" t="s">
        <v>217</v>
      </c>
      <c r="D65" s="14" t="s">
        <v>317</v>
      </c>
      <c r="E65" s="35">
        <f>SUM(N31)</f>
        <v>0</v>
      </c>
      <c r="F65" s="28">
        <f t="shared" si="20"/>
        <v>0</v>
      </c>
      <c r="G65" s="28" t="e">
        <f t="shared" si="15"/>
        <v>#DIV/0!</v>
      </c>
      <c r="H65" s="28" t="e">
        <f t="shared" si="16"/>
        <v>#DIV/0!</v>
      </c>
      <c r="K65" s="17"/>
      <c r="L65" s="24">
        <v>63</v>
      </c>
      <c r="M65" s="14" t="s">
        <v>67</v>
      </c>
      <c r="AD65" s="6"/>
      <c r="AE65" s="1" t="s">
        <v>145</v>
      </c>
      <c r="AF65" s="1">
        <v>48</v>
      </c>
      <c r="AG65" s="3">
        <f t="shared" si="13"/>
        <v>0</v>
      </c>
      <c r="AH65" s="3">
        <f t="shared" si="1"/>
        <v>0</v>
      </c>
      <c r="AI65" s="8">
        <v>0.8</v>
      </c>
      <c r="AJ65" s="1">
        <v>4</v>
      </c>
      <c r="AN65" s="3">
        <f t="shared" si="19"/>
        <v>0</v>
      </c>
      <c r="AO65" s="3">
        <v>13.72</v>
      </c>
      <c r="AP65" s="3">
        <f t="shared" si="8"/>
        <v>0</v>
      </c>
      <c r="AQ65" s="1">
        <v>3</v>
      </c>
      <c r="AT65" s="3">
        <f t="shared" si="18"/>
        <v>0</v>
      </c>
      <c r="AX65" s="3" t="e">
        <f t="shared" si="9"/>
        <v>#DIV/0!</v>
      </c>
      <c r="AY65" s="3" t="e">
        <f t="shared" si="10"/>
        <v>#DIV/0!</v>
      </c>
      <c r="AZ65" s="5"/>
    </row>
    <row r="66" spans="1:52" ht="13.5">
      <c r="A66" s="28" t="s">
        <v>200</v>
      </c>
      <c r="B66" s="36">
        <f>SUM(X3:X81)</f>
        <v>0</v>
      </c>
      <c r="C66" s="36" t="e">
        <f>100*(B66/$B$15)</f>
        <v>#DIV/0!</v>
      </c>
      <c r="D66" s="14" t="s">
        <v>318</v>
      </c>
      <c r="E66" s="35">
        <f>SUM(N32)</f>
        <v>0</v>
      </c>
      <c r="F66" s="28">
        <f t="shared" si="20"/>
        <v>0</v>
      </c>
      <c r="G66" s="28" t="e">
        <f t="shared" si="15"/>
        <v>#DIV/0!</v>
      </c>
      <c r="H66" s="28" t="e">
        <f t="shared" si="16"/>
        <v>#DIV/0!</v>
      </c>
      <c r="K66" s="17"/>
      <c r="L66" s="24">
        <v>64</v>
      </c>
      <c r="M66" s="14" t="s">
        <v>68</v>
      </c>
      <c r="AD66" s="6"/>
      <c r="AE66" s="1" t="s">
        <v>146</v>
      </c>
      <c r="AF66" s="1">
        <v>2</v>
      </c>
      <c r="AG66" s="3">
        <f t="shared" si="13"/>
        <v>0</v>
      </c>
      <c r="AH66" s="3">
        <f t="shared" si="1"/>
        <v>0</v>
      </c>
      <c r="AI66" s="8">
        <v>0.75</v>
      </c>
      <c r="AJ66" s="1">
        <v>4</v>
      </c>
      <c r="AN66" s="3">
        <f t="shared" si="19"/>
        <v>0</v>
      </c>
      <c r="AO66" s="3">
        <v>100</v>
      </c>
      <c r="AP66" s="3">
        <f t="shared" si="8"/>
        <v>0</v>
      </c>
      <c r="AQ66" s="1">
        <v>1</v>
      </c>
      <c r="AR66" s="3">
        <f aca="true" t="shared" si="21" ref="AR66:AR81">SUM(AP66)</f>
        <v>0</v>
      </c>
      <c r="AX66" s="3" t="e">
        <f t="shared" si="9"/>
        <v>#DIV/0!</v>
      </c>
      <c r="AY66" s="3" t="e">
        <f t="shared" si="10"/>
        <v>#DIV/0!</v>
      </c>
      <c r="AZ66" s="5"/>
    </row>
    <row r="67" spans="1:52" ht="13.5">
      <c r="A67" s="14" t="s">
        <v>301</v>
      </c>
      <c r="B67" s="36">
        <f>SUM(B15-B66)</f>
        <v>0</v>
      </c>
      <c r="C67" s="36" t="e">
        <f>100*(B67/$B$15)</f>
        <v>#DIV/0!</v>
      </c>
      <c r="D67" s="14" t="s">
        <v>319</v>
      </c>
      <c r="E67" s="35">
        <f>SUM(N72)</f>
        <v>0</v>
      </c>
      <c r="F67" s="28">
        <f t="shared" si="20"/>
        <v>0</v>
      </c>
      <c r="G67" s="28" t="e">
        <f t="shared" si="15"/>
        <v>#DIV/0!</v>
      </c>
      <c r="H67" s="28" t="e">
        <f t="shared" si="16"/>
        <v>#DIV/0!</v>
      </c>
      <c r="K67" s="17"/>
      <c r="L67" s="24">
        <v>65</v>
      </c>
      <c r="M67" s="14" t="s">
        <v>69</v>
      </c>
      <c r="AD67" s="6"/>
      <c r="AE67" s="1" t="s">
        <v>147</v>
      </c>
      <c r="AF67" s="1">
        <v>2</v>
      </c>
      <c r="AG67" s="3">
        <f t="shared" si="13"/>
        <v>0</v>
      </c>
      <c r="AH67" s="3">
        <f aca="true" t="shared" si="22" ref="AH67:AH81">AG67*AI67</f>
        <v>0</v>
      </c>
      <c r="AI67" s="8">
        <v>1.29</v>
      </c>
      <c r="AJ67" s="1">
        <v>2</v>
      </c>
      <c r="AL67" s="3">
        <f>SUM(AH67)</f>
        <v>0</v>
      </c>
      <c r="AO67" s="3">
        <v>100</v>
      </c>
      <c r="AP67" s="3">
        <f t="shared" si="8"/>
        <v>0</v>
      </c>
      <c r="AQ67" s="1">
        <v>1</v>
      </c>
      <c r="AR67" s="3">
        <f t="shared" si="21"/>
        <v>0</v>
      </c>
      <c r="AX67" s="3" t="e">
        <f aca="true" t="shared" si="23" ref="AX67:AX81">100*(SUM(AG67)/MNI)</f>
        <v>#DIV/0!</v>
      </c>
      <c r="AY67" s="3" t="e">
        <f aca="true" t="shared" si="24" ref="AY67:AY81">100*(SUM(AG67)/MAUX)</f>
        <v>#DIV/0!</v>
      </c>
      <c r="AZ67" s="5"/>
    </row>
    <row r="68" spans="1:52" ht="13.5">
      <c r="A68" s="28" t="s">
        <v>159</v>
      </c>
      <c r="B68" s="36">
        <f>SUM(T3:T81)</f>
        <v>0</v>
      </c>
      <c r="C68" s="36" t="e">
        <f>100*(B68/$B$15)</f>
        <v>#DIV/0!</v>
      </c>
      <c r="D68" s="14" t="s">
        <v>320</v>
      </c>
      <c r="E68" s="35">
        <f>SUM(N73)</f>
        <v>0</v>
      </c>
      <c r="F68" s="28">
        <f t="shared" si="20"/>
        <v>0</v>
      </c>
      <c r="G68" s="28" t="e">
        <f t="shared" si="15"/>
        <v>#DIV/0!</v>
      </c>
      <c r="H68" s="28" t="e">
        <f t="shared" si="16"/>
        <v>#DIV/0!</v>
      </c>
      <c r="K68" s="17"/>
      <c r="L68" s="24">
        <v>66</v>
      </c>
      <c r="M68" s="14" t="s">
        <v>70</v>
      </c>
      <c r="AD68" s="6"/>
      <c r="AE68" s="1" t="s">
        <v>148</v>
      </c>
      <c r="AF68" s="1">
        <v>2</v>
      </c>
      <c r="AG68" s="3">
        <f t="shared" si="13"/>
        <v>0</v>
      </c>
      <c r="AH68" s="3">
        <f t="shared" si="22"/>
        <v>0</v>
      </c>
      <c r="AI68" s="8">
        <v>1.14</v>
      </c>
      <c r="AJ68" s="1">
        <v>3</v>
      </c>
      <c r="AM68" s="3">
        <f>SUM(AH68)</f>
        <v>0</v>
      </c>
      <c r="AO68" s="3">
        <v>100</v>
      </c>
      <c r="AP68" s="3">
        <f>AG68*AO68</f>
        <v>0</v>
      </c>
      <c r="AQ68" s="1">
        <v>1</v>
      </c>
      <c r="AR68" s="3">
        <f t="shared" si="21"/>
        <v>0</v>
      </c>
      <c r="AX68" s="3" t="e">
        <f t="shared" si="23"/>
        <v>#DIV/0!</v>
      </c>
      <c r="AY68" s="3" t="e">
        <f t="shared" si="24"/>
        <v>#DIV/0!</v>
      </c>
      <c r="AZ68" s="5"/>
    </row>
    <row r="69" spans="1:52" ht="13.5">
      <c r="A69" s="14" t="s">
        <v>302</v>
      </c>
      <c r="B69" s="36">
        <f>SUM(B15-B68)</f>
        <v>0</v>
      </c>
      <c r="C69" s="36" t="e">
        <f>100*(B69/$B$15)</f>
        <v>#DIV/0!</v>
      </c>
      <c r="D69" s="14" t="s">
        <v>322</v>
      </c>
      <c r="E69" s="35">
        <f>SUM(N43)</f>
        <v>0</v>
      </c>
      <c r="F69" s="28">
        <f t="shared" si="20"/>
        <v>0</v>
      </c>
      <c r="G69" s="28" t="e">
        <f t="shared" si="15"/>
        <v>#DIV/0!</v>
      </c>
      <c r="H69" s="28" t="e">
        <f t="shared" si="16"/>
        <v>#DIV/0!</v>
      </c>
      <c r="K69" s="17"/>
      <c r="L69" s="24">
        <v>67</v>
      </c>
      <c r="M69" s="14" t="s">
        <v>71</v>
      </c>
      <c r="AD69" s="6"/>
      <c r="AE69" s="1" t="s">
        <v>149</v>
      </c>
      <c r="AF69" s="1">
        <v>2</v>
      </c>
      <c r="AG69" s="3">
        <f t="shared" si="13"/>
        <v>0</v>
      </c>
      <c r="AH69" s="3">
        <f t="shared" si="22"/>
        <v>0</v>
      </c>
      <c r="AI69" s="8">
        <v>1</v>
      </c>
      <c r="AJ69" s="1">
        <v>3</v>
      </c>
      <c r="AM69" s="3">
        <f>SUM(AH69)</f>
        <v>0</v>
      </c>
      <c r="AO69" s="3">
        <v>100</v>
      </c>
      <c r="AP69" s="3">
        <f t="shared" si="8"/>
        <v>0</v>
      </c>
      <c r="AQ69" s="1">
        <v>1</v>
      </c>
      <c r="AR69" s="3">
        <f t="shared" si="21"/>
        <v>0</v>
      </c>
      <c r="AX69" s="3" t="e">
        <f t="shared" si="23"/>
        <v>#DIV/0!</v>
      </c>
      <c r="AY69" s="3" t="e">
        <f t="shared" si="24"/>
        <v>#DIV/0!</v>
      </c>
      <c r="AZ69" s="5"/>
    </row>
    <row r="70" spans="4:52" ht="13.5">
      <c r="D70" s="14" t="s">
        <v>321</v>
      </c>
      <c r="E70" s="35">
        <f>SUM(N42)</f>
        <v>0</v>
      </c>
      <c r="F70" s="28">
        <f t="shared" si="20"/>
        <v>0</v>
      </c>
      <c r="G70" s="28" t="e">
        <f t="shared" si="15"/>
        <v>#DIV/0!</v>
      </c>
      <c r="H70" s="28" t="e">
        <f t="shared" si="16"/>
        <v>#DIV/0!</v>
      </c>
      <c r="K70" s="17"/>
      <c r="L70" s="24">
        <v>68</v>
      </c>
      <c r="M70" s="14" t="s">
        <v>72</v>
      </c>
      <c r="AD70" s="6"/>
      <c r="AE70" s="1" t="s">
        <v>150</v>
      </c>
      <c r="AF70" s="1">
        <v>2</v>
      </c>
      <c r="AG70" s="3">
        <f t="shared" si="13"/>
        <v>0</v>
      </c>
      <c r="AH70" s="3">
        <f t="shared" si="22"/>
        <v>0</v>
      </c>
      <c r="AI70" s="8">
        <v>1.5</v>
      </c>
      <c r="AJ70" s="1">
        <v>1</v>
      </c>
      <c r="AK70" s="3">
        <f>SUM(AH70)</f>
        <v>0</v>
      </c>
      <c r="AO70" s="3">
        <v>64.73</v>
      </c>
      <c r="AP70" s="3">
        <f t="shared" si="8"/>
        <v>0</v>
      </c>
      <c r="AQ70" s="1">
        <v>1</v>
      </c>
      <c r="AR70" s="3">
        <f t="shared" si="21"/>
        <v>0</v>
      </c>
      <c r="AX70" s="3" t="e">
        <f t="shared" si="23"/>
        <v>#DIV/0!</v>
      </c>
      <c r="AY70" s="3" t="e">
        <f t="shared" si="24"/>
        <v>#DIV/0!</v>
      </c>
      <c r="AZ70" s="5"/>
    </row>
    <row r="71" spans="1:52" ht="13.5">
      <c r="A71" s="39" t="s">
        <v>231</v>
      </c>
      <c r="D71" s="14" t="s">
        <v>323</v>
      </c>
      <c r="E71" s="35">
        <f>SUM(N39)</f>
        <v>0</v>
      </c>
      <c r="F71" s="28">
        <f t="shared" si="20"/>
        <v>0</v>
      </c>
      <c r="G71" s="28" t="e">
        <f t="shared" si="15"/>
        <v>#DIV/0!</v>
      </c>
      <c r="H71" s="28" t="e">
        <f t="shared" si="16"/>
        <v>#DIV/0!</v>
      </c>
      <c r="K71" s="17"/>
      <c r="L71" s="24">
        <v>69</v>
      </c>
      <c r="M71" s="14" t="s">
        <v>73</v>
      </c>
      <c r="AD71" s="6"/>
      <c r="AE71" s="1" t="s">
        <v>151</v>
      </c>
      <c r="AF71" s="1">
        <v>2</v>
      </c>
      <c r="AG71" s="3">
        <f t="shared" si="13"/>
        <v>0</v>
      </c>
      <c r="AH71" s="3">
        <f t="shared" si="22"/>
        <v>0</v>
      </c>
      <c r="AI71" s="8">
        <v>0.75</v>
      </c>
      <c r="AJ71" s="1">
        <v>4</v>
      </c>
      <c r="AN71" s="3">
        <f>SUM(AH71)</f>
        <v>0</v>
      </c>
      <c r="AO71" s="3">
        <v>64.73</v>
      </c>
      <c r="AP71" s="3">
        <f t="shared" si="8"/>
        <v>0</v>
      </c>
      <c r="AQ71" s="1">
        <v>1</v>
      </c>
      <c r="AR71" s="3">
        <f t="shared" si="21"/>
        <v>0</v>
      </c>
      <c r="AX71" s="3" t="e">
        <f t="shared" si="23"/>
        <v>#DIV/0!</v>
      </c>
      <c r="AY71" s="3" t="e">
        <f t="shared" si="24"/>
        <v>#DIV/0!</v>
      </c>
      <c r="AZ71" s="5"/>
    </row>
    <row r="72" spans="2:52" ht="13.5">
      <c r="B72" s="36" t="s">
        <v>201</v>
      </c>
      <c r="C72" s="36" t="s">
        <v>217</v>
      </c>
      <c r="D72" s="14" t="s">
        <v>324</v>
      </c>
      <c r="E72" s="35">
        <f>SUM(N48)</f>
        <v>0</v>
      </c>
      <c r="F72" s="28">
        <f t="shared" si="20"/>
        <v>0</v>
      </c>
      <c r="G72" s="28" t="e">
        <f t="shared" si="15"/>
        <v>#DIV/0!</v>
      </c>
      <c r="H72" s="28" t="e">
        <f t="shared" si="16"/>
        <v>#DIV/0!</v>
      </c>
      <c r="K72" s="17"/>
      <c r="L72" s="24">
        <v>70</v>
      </c>
      <c r="M72" s="14" t="s">
        <v>74</v>
      </c>
      <c r="AD72" s="6"/>
      <c r="AE72" s="1" t="s">
        <v>152</v>
      </c>
      <c r="AF72" s="1">
        <v>2</v>
      </c>
      <c r="AG72" s="3">
        <f t="shared" si="13"/>
        <v>0</v>
      </c>
      <c r="AH72" s="3">
        <f t="shared" si="22"/>
        <v>0</v>
      </c>
      <c r="AI72" s="8">
        <v>1.19</v>
      </c>
      <c r="AJ72" s="1">
        <v>3</v>
      </c>
      <c r="AM72" s="3">
        <f>SUM(AH72)</f>
        <v>0</v>
      </c>
      <c r="AO72" s="3">
        <v>64.73</v>
      </c>
      <c r="AP72" s="3">
        <f t="shared" si="8"/>
        <v>0</v>
      </c>
      <c r="AQ72" s="1">
        <v>1</v>
      </c>
      <c r="AR72" s="3">
        <f t="shared" si="21"/>
        <v>0</v>
      </c>
      <c r="AX72" s="3" t="e">
        <f t="shared" si="23"/>
        <v>#DIV/0!</v>
      </c>
      <c r="AY72" s="3" t="e">
        <f t="shared" si="24"/>
        <v>#DIV/0!</v>
      </c>
      <c r="AZ72" s="5"/>
    </row>
    <row r="73" spans="1:52" ht="13.5">
      <c r="A73" s="28" t="s">
        <v>232</v>
      </c>
      <c r="B73" s="36">
        <f>SUM(white)</f>
        <v>0</v>
      </c>
      <c r="C73" s="36" t="e">
        <f>100*(B73/$B$15)</f>
        <v>#DIV/0!</v>
      </c>
      <c r="D73" s="14" t="s">
        <v>325</v>
      </c>
      <c r="E73" s="35">
        <f>SUM(N47)</f>
        <v>0</v>
      </c>
      <c r="F73" s="28">
        <f t="shared" si="20"/>
        <v>0</v>
      </c>
      <c r="G73" s="28" t="e">
        <f t="shared" si="15"/>
        <v>#DIV/0!</v>
      </c>
      <c r="H73" s="28" t="e">
        <f t="shared" si="16"/>
        <v>#DIV/0!</v>
      </c>
      <c r="K73" s="17"/>
      <c r="L73" s="24">
        <v>71</v>
      </c>
      <c r="M73" s="14" t="s">
        <v>75</v>
      </c>
      <c r="AD73" s="6"/>
      <c r="AE73" s="1" t="s">
        <v>153</v>
      </c>
      <c r="AF73" s="1">
        <v>2</v>
      </c>
      <c r="AG73" s="3">
        <f t="shared" si="13"/>
        <v>0</v>
      </c>
      <c r="AH73" s="3">
        <f t="shared" si="22"/>
        <v>0</v>
      </c>
      <c r="AI73" s="8">
        <v>1.46</v>
      </c>
      <c r="AJ73" s="1">
        <v>1</v>
      </c>
      <c r="AK73" s="3">
        <f>SUM(AH73)</f>
        <v>0</v>
      </c>
      <c r="AO73" s="3">
        <v>47.09</v>
      </c>
      <c r="AP73" s="3">
        <f t="shared" si="8"/>
        <v>0</v>
      </c>
      <c r="AQ73" s="1">
        <v>1</v>
      </c>
      <c r="AR73" s="3">
        <f t="shared" si="21"/>
        <v>0</v>
      </c>
      <c r="AX73" s="3" t="e">
        <f t="shared" si="23"/>
        <v>#DIV/0!</v>
      </c>
      <c r="AY73" s="3" t="e">
        <f t="shared" si="24"/>
        <v>#DIV/0!</v>
      </c>
      <c r="AZ73" s="5"/>
    </row>
    <row r="74" spans="1:52" ht="13.5">
      <c r="A74" s="28" t="s">
        <v>233</v>
      </c>
      <c r="B74" s="36">
        <f>SUM(V3:V81)</f>
        <v>0</v>
      </c>
      <c r="C74" s="36" t="e">
        <f>100*(B74/$B$15)</f>
        <v>#DIV/0!</v>
      </c>
      <c r="D74" s="14" t="s">
        <v>326</v>
      </c>
      <c r="E74" s="35">
        <f>SUM(N40)</f>
        <v>0</v>
      </c>
      <c r="F74" s="28">
        <f t="shared" si="20"/>
        <v>0</v>
      </c>
      <c r="G74" s="28" t="e">
        <f t="shared" si="15"/>
        <v>#DIV/0!</v>
      </c>
      <c r="H74" s="28" t="e">
        <f t="shared" si="16"/>
        <v>#DIV/0!</v>
      </c>
      <c r="K74" s="17"/>
      <c r="L74" s="24">
        <v>72</v>
      </c>
      <c r="M74" s="14" t="s">
        <v>76</v>
      </c>
      <c r="AD74" s="6"/>
      <c r="AE74" s="1" t="s">
        <v>154</v>
      </c>
      <c r="AF74" s="1">
        <v>2</v>
      </c>
      <c r="AG74" s="3">
        <f t="shared" si="13"/>
        <v>0</v>
      </c>
      <c r="AH74" s="3">
        <f t="shared" si="22"/>
        <v>0</v>
      </c>
      <c r="AI74" s="8">
        <v>1</v>
      </c>
      <c r="AJ74" s="1">
        <v>3</v>
      </c>
      <c r="AM74" s="3">
        <f>SUM(AH74)</f>
        <v>0</v>
      </c>
      <c r="AO74" s="3">
        <f>(64.73+47.09)/2</f>
        <v>55.910000000000004</v>
      </c>
      <c r="AP74" s="3">
        <f t="shared" si="8"/>
        <v>0</v>
      </c>
      <c r="AQ74" s="1">
        <v>1</v>
      </c>
      <c r="AR74" s="3">
        <f t="shared" si="21"/>
        <v>0</v>
      </c>
      <c r="AX74" s="3" t="e">
        <f t="shared" si="23"/>
        <v>#DIV/0!</v>
      </c>
      <c r="AY74" s="3" t="e">
        <f t="shared" si="24"/>
        <v>#DIV/0!</v>
      </c>
      <c r="AZ74" s="5"/>
    </row>
    <row r="75" spans="1:52" ht="15">
      <c r="A75" s="14" t="s">
        <v>234</v>
      </c>
      <c r="B75" s="49">
        <f>SUM(W3:W81)</f>
        <v>0</v>
      </c>
      <c r="C75" s="36" t="e">
        <f>100*(B75/$B$15)</f>
        <v>#DIV/0!</v>
      </c>
      <c r="D75" s="14" t="s">
        <v>327</v>
      </c>
      <c r="E75" s="35">
        <f>SUM(N54:N65)</f>
        <v>0</v>
      </c>
      <c r="F75" s="28">
        <f>E75/24</f>
        <v>0</v>
      </c>
      <c r="G75" s="28" t="e">
        <f t="shared" si="15"/>
        <v>#DIV/0!</v>
      </c>
      <c r="H75" s="28" t="e">
        <f>100*(F75/MNI)</f>
        <v>#DIV/0!</v>
      </c>
      <c r="K75" s="17"/>
      <c r="L75" s="24">
        <v>73</v>
      </c>
      <c r="M75" s="59" t="s">
        <v>337</v>
      </c>
      <c r="AD75" s="6"/>
      <c r="AE75" s="59" t="s">
        <v>333</v>
      </c>
      <c r="AF75" s="1">
        <v>2</v>
      </c>
      <c r="AG75" s="3">
        <f t="shared" si="13"/>
        <v>0</v>
      </c>
      <c r="AH75" s="3">
        <f t="shared" si="22"/>
        <v>0</v>
      </c>
      <c r="AI75" s="58">
        <v>1.25</v>
      </c>
      <c r="AJ75" s="1">
        <v>2</v>
      </c>
      <c r="AL75" s="3">
        <f>SUM(AH75)</f>
        <v>0</v>
      </c>
      <c r="AM75" s="3"/>
      <c r="AO75" s="3">
        <v>55</v>
      </c>
      <c r="AP75" s="3">
        <f t="shared" si="8"/>
        <v>0</v>
      </c>
      <c r="AQ75" s="1">
        <v>1</v>
      </c>
      <c r="AR75" s="3">
        <f t="shared" si="21"/>
        <v>0</v>
      </c>
      <c r="AX75" s="3" t="e">
        <f t="shared" si="23"/>
        <v>#DIV/0!</v>
      </c>
      <c r="AY75" s="3" t="e">
        <f t="shared" si="24"/>
        <v>#DIV/0!</v>
      </c>
      <c r="AZ75" s="5"/>
    </row>
    <row r="76" spans="1:52" ht="15">
      <c r="A76" s="14" t="s">
        <v>300</v>
      </c>
      <c r="B76" s="36">
        <f>SUM(B15)-SUM(B73:B75)</f>
        <v>0</v>
      </c>
      <c r="C76" s="36" t="e">
        <f>100*(B76/$B$15)</f>
        <v>#DIV/0!</v>
      </c>
      <c r="D76" s="40" t="s">
        <v>329</v>
      </c>
      <c r="E76" s="28">
        <f>SUM(E54:E75)</f>
        <v>0</v>
      </c>
      <c r="F76" s="28">
        <f>SUM(F54:F75)</f>
        <v>0</v>
      </c>
      <c r="G76" s="28" t="e">
        <f>SUM(G54:G75)</f>
        <v>#DIV/0!</v>
      </c>
      <c r="K76" s="17"/>
      <c r="L76" s="24">
        <v>74</v>
      </c>
      <c r="M76" s="59" t="s">
        <v>338</v>
      </c>
      <c r="AD76" s="6"/>
      <c r="AE76" s="59" t="s">
        <v>334</v>
      </c>
      <c r="AF76" s="1">
        <v>2</v>
      </c>
      <c r="AG76" s="3">
        <f t="shared" si="13"/>
        <v>0</v>
      </c>
      <c r="AH76" s="3">
        <f t="shared" si="22"/>
        <v>0</v>
      </c>
      <c r="AI76" s="58">
        <v>1.25</v>
      </c>
      <c r="AJ76" s="1">
        <v>2</v>
      </c>
      <c r="AL76" s="3">
        <f>SUM(AH76)</f>
        <v>0</v>
      </c>
      <c r="AM76" s="3"/>
      <c r="AO76" s="3">
        <v>55</v>
      </c>
      <c r="AP76" s="3">
        <f t="shared" si="8"/>
        <v>0</v>
      </c>
      <c r="AQ76" s="1">
        <v>1</v>
      </c>
      <c r="AR76" s="3">
        <f t="shared" si="21"/>
        <v>0</v>
      </c>
      <c r="AX76" s="3" t="e">
        <f t="shared" si="23"/>
        <v>#DIV/0!</v>
      </c>
      <c r="AY76" s="3" t="e">
        <f t="shared" si="24"/>
        <v>#DIV/0!</v>
      </c>
      <c r="AZ76" s="5"/>
    </row>
    <row r="77" spans="1:52" ht="15">
      <c r="A77" s="28"/>
      <c r="B77" s="36"/>
      <c r="C77" s="36"/>
      <c r="E77" s="35"/>
      <c r="F77" s="28"/>
      <c r="G77" s="28"/>
      <c r="H77" s="28"/>
      <c r="K77" s="17"/>
      <c r="L77" s="24">
        <v>75</v>
      </c>
      <c r="M77" s="59" t="s">
        <v>339</v>
      </c>
      <c r="AD77" s="6"/>
      <c r="AE77" s="59" t="s">
        <v>335</v>
      </c>
      <c r="AF77" s="1">
        <v>2</v>
      </c>
      <c r="AG77" s="3">
        <f t="shared" si="13"/>
        <v>0</v>
      </c>
      <c r="AH77" s="3">
        <f t="shared" si="22"/>
        <v>0</v>
      </c>
      <c r="AI77" s="58">
        <v>1.25</v>
      </c>
      <c r="AJ77" s="1">
        <v>2</v>
      </c>
      <c r="AL77" s="3">
        <f>SUM(AH77)</f>
        <v>0</v>
      </c>
      <c r="AM77" s="3"/>
      <c r="AO77" s="3">
        <v>55</v>
      </c>
      <c r="AP77" s="3">
        <f t="shared" si="8"/>
        <v>0</v>
      </c>
      <c r="AQ77" s="1">
        <v>1</v>
      </c>
      <c r="AR77" s="3">
        <f t="shared" si="21"/>
        <v>0</v>
      </c>
      <c r="AX77" s="3" t="e">
        <f t="shared" si="23"/>
        <v>#DIV/0!</v>
      </c>
      <c r="AY77" s="3" t="e">
        <f t="shared" si="24"/>
        <v>#DIV/0!</v>
      </c>
      <c r="AZ77" s="5"/>
    </row>
    <row r="78" spans="1:52" ht="15">
      <c r="A78" s="28"/>
      <c r="B78" s="36"/>
      <c r="C78" s="36"/>
      <c r="E78" s="35"/>
      <c r="F78" s="28"/>
      <c r="G78" s="28"/>
      <c r="H78" s="28"/>
      <c r="K78" s="17"/>
      <c r="L78" s="24">
        <v>76</v>
      </c>
      <c r="M78" s="59" t="s">
        <v>340</v>
      </c>
      <c r="AD78" s="6"/>
      <c r="AE78" s="59" t="s">
        <v>336</v>
      </c>
      <c r="AF78" s="1">
        <v>2</v>
      </c>
      <c r="AG78" s="3">
        <f t="shared" si="13"/>
        <v>0</v>
      </c>
      <c r="AH78" s="3">
        <f t="shared" si="22"/>
        <v>0</v>
      </c>
      <c r="AI78" s="58">
        <v>1.25</v>
      </c>
      <c r="AJ78" s="1">
        <v>2</v>
      </c>
      <c r="AL78" s="3">
        <f>SUM(AH78)</f>
        <v>0</v>
      </c>
      <c r="AM78" s="3"/>
      <c r="AO78" s="3">
        <v>55</v>
      </c>
      <c r="AP78" s="3">
        <f t="shared" si="8"/>
        <v>0</v>
      </c>
      <c r="AQ78" s="1">
        <v>1</v>
      </c>
      <c r="AR78" s="3">
        <f t="shared" si="21"/>
        <v>0</v>
      </c>
      <c r="AX78" s="3" t="e">
        <f t="shared" si="23"/>
        <v>#DIV/0!</v>
      </c>
      <c r="AY78" s="3" t="e">
        <f t="shared" si="24"/>
        <v>#DIV/0!</v>
      </c>
      <c r="AZ78" s="5"/>
    </row>
    <row r="79" spans="11:52" ht="13.5">
      <c r="K79" s="17"/>
      <c r="L79" s="24">
        <v>77</v>
      </c>
      <c r="M79" s="14" t="s">
        <v>77</v>
      </c>
      <c r="AD79" s="6"/>
      <c r="AE79" s="1" t="s">
        <v>155</v>
      </c>
      <c r="AF79" s="1">
        <v>7</v>
      </c>
      <c r="AG79" s="3">
        <f t="shared" si="13"/>
        <v>0</v>
      </c>
      <c r="AH79" s="3">
        <f t="shared" si="22"/>
        <v>0</v>
      </c>
      <c r="AI79" s="8">
        <v>0.76</v>
      </c>
      <c r="AJ79" s="1">
        <v>4</v>
      </c>
      <c r="AN79" s="3">
        <f>SUM(AH79)</f>
        <v>0</v>
      </c>
      <c r="AO79" s="3">
        <v>64.13</v>
      </c>
      <c r="AP79" s="3">
        <f t="shared" si="8"/>
        <v>0</v>
      </c>
      <c r="AQ79" s="1">
        <v>1</v>
      </c>
      <c r="AR79" s="3">
        <f t="shared" si="21"/>
        <v>0</v>
      </c>
      <c r="AX79" s="3" t="e">
        <f t="shared" si="23"/>
        <v>#DIV/0!</v>
      </c>
      <c r="AY79" s="3" t="e">
        <f t="shared" si="24"/>
        <v>#DIV/0!</v>
      </c>
      <c r="AZ79" s="5"/>
    </row>
    <row r="80" spans="9:52" ht="13.5">
      <c r="I80" s="28"/>
      <c r="K80" s="17"/>
      <c r="L80" s="24">
        <v>78</v>
      </c>
      <c r="M80" s="14" t="s">
        <v>78</v>
      </c>
      <c r="AD80" s="6"/>
      <c r="AE80" s="1" t="s">
        <v>156</v>
      </c>
      <c r="AF80" s="1">
        <v>14</v>
      </c>
      <c r="AG80" s="3">
        <f t="shared" si="13"/>
        <v>0</v>
      </c>
      <c r="AH80" s="3">
        <f t="shared" si="22"/>
        <v>0</v>
      </c>
      <c r="AI80" s="8">
        <v>0.76</v>
      </c>
      <c r="AJ80" s="1">
        <v>4</v>
      </c>
      <c r="AN80" s="3">
        <f>SUM(AH80)</f>
        <v>0</v>
      </c>
      <c r="AO80" s="3">
        <v>64.13</v>
      </c>
      <c r="AP80" s="3">
        <f t="shared" si="8"/>
        <v>0</v>
      </c>
      <c r="AQ80" s="1">
        <v>1</v>
      </c>
      <c r="AR80" s="3">
        <f t="shared" si="21"/>
        <v>0</v>
      </c>
      <c r="AX80" s="3" t="e">
        <f t="shared" si="23"/>
        <v>#DIV/0!</v>
      </c>
      <c r="AY80" s="3" t="e">
        <f t="shared" si="24"/>
        <v>#DIV/0!</v>
      </c>
      <c r="AZ80" s="5"/>
    </row>
    <row r="81" spans="11:52" ht="13.5">
      <c r="K81" s="17"/>
      <c r="L81" s="15">
        <v>79</v>
      </c>
      <c r="M81" s="14" t="s">
        <v>171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7"/>
      <c r="AE81" t="s">
        <v>172</v>
      </c>
      <c r="AF81">
        <v>16</v>
      </c>
      <c r="AG81" s="3">
        <f t="shared" si="13"/>
        <v>0</v>
      </c>
      <c r="AH81" s="3">
        <f t="shared" si="22"/>
        <v>0</v>
      </c>
      <c r="AI81" s="9">
        <v>0.75</v>
      </c>
      <c r="AJ81">
        <v>1</v>
      </c>
      <c r="AK81" s="4">
        <f>SUM(AH81)</f>
        <v>0</v>
      </c>
      <c r="AO81" s="3">
        <v>64.13</v>
      </c>
      <c r="AP81" s="3">
        <f t="shared" si="8"/>
        <v>0</v>
      </c>
      <c r="AQ81" s="1">
        <v>1</v>
      </c>
      <c r="AR81" s="3">
        <f t="shared" si="21"/>
        <v>0</v>
      </c>
      <c r="AX81" s="3" t="e">
        <f t="shared" si="23"/>
        <v>#DIV/0!</v>
      </c>
      <c r="AY81" s="3" t="e">
        <f t="shared" si="24"/>
        <v>#DIV/0!</v>
      </c>
      <c r="AZ81" s="5"/>
    </row>
    <row r="82" spans="11:159" ht="13.5">
      <c r="K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2"/>
      <c r="AE82" s="2"/>
      <c r="AF82" s="2"/>
      <c r="AG82" s="5"/>
      <c r="AH82" s="5"/>
      <c r="AI82" s="10"/>
      <c r="AJ82" s="2"/>
      <c r="AK82" s="2"/>
      <c r="AL82" s="2"/>
      <c r="AM82" s="2"/>
      <c r="AN82" s="2"/>
      <c r="AO82" s="5"/>
      <c r="AP82" s="5"/>
      <c r="AQ82" s="2"/>
      <c r="AR82" s="2"/>
      <c r="AS82" s="2"/>
      <c r="AT82" s="2"/>
      <c r="AU82" s="2"/>
      <c r="AX82" s="5"/>
      <c r="AY82" s="5"/>
      <c r="AZ82" s="5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</row>
    <row r="83" spans="37:47" ht="13.5">
      <c r="AK83" s="3">
        <f>SUM(AK3:AK81)</f>
        <v>0</v>
      </c>
      <c r="AL83" s="3">
        <f>SUM(AL3:AL81)</f>
        <v>0</v>
      </c>
      <c r="AM83" s="3">
        <f>SUM(AM3:AM81)</f>
        <v>0</v>
      </c>
      <c r="AN83" s="3">
        <f>SUM(AN3:AN81)</f>
        <v>0</v>
      </c>
      <c r="AP83" s="3">
        <f>SUM(AP3:AP81)</f>
        <v>0</v>
      </c>
      <c r="AQ83" s="1">
        <f>SUM(AR83:AU83)</f>
        <v>0</v>
      </c>
      <c r="AR83" s="1">
        <f>SUM(AR3:AR81)</f>
        <v>0</v>
      </c>
      <c r="AS83" s="1">
        <f>SUM(AS3:AS81)</f>
        <v>0</v>
      </c>
      <c r="AT83" s="1">
        <f>SUM(AT3:AT81)</f>
        <v>0</v>
      </c>
      <c r="AU83" s="1">
        <f>SUM(AU3:AU81)</f>
        <v>0</v>
      </c>
    </row>
    <row r="84" spans="1:36" ht="13.5">
      <c r="A84" s="15"/>
      <c r="B84" s="42"/>
      <c r="C84" s="42"/>
      <c r="D84" s="15"/>
      <c r="E84" s="15"/>
      <c r="F84" s="15"/>
      <c r="G84" s="15"/>
      <c r="I84" s="15"/>
      <c r="J84" s="15"/>
      <c r="AH84" s="8">
        <f>SUM(AH3:AH81)</f>
        <v>0</v>
      </c>
      <c r="AJ84" s="3">
        <f>SUM(AK83:AN83)</f>
        <v>0</v>
      </c>
    </row>
    <row r="85" ht="13.5">
      <c r="AQ85" s="3">
        <f>AP83-AQ83</f>
        <v>0</v>
      </c>
    </row>
  </sheetData>
  <printOptions/>
  <pageMargins left="0.79" right="1.12" top="0.69" bottom="0.58" header="0.5" footer="0.5"/>
  <pageSetup fitToHeight="1" fitToWidth="1" horizontalDpi="360" verticalDpi="360" orientation="portrait" scale="67" r:id="rId4"/>
  <headerFooter alignWithMargins="0">
    <oddHeader>&amp;LNABONE&amp;C&amp;F&amp;R&amp;D</oddHeader>
  </headerFooter>
  <legacyDrawing r:id="rId3"/>
  <oleObjects>
    <oleObject progId="Word.Picture.8" shapeId="15567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H. McGovern</dc:creator>
  <cp:keywords/>
  <dc:description/>
  <cp:lastModifiedBy>Tom McGovern</cp:lastModifiedBy>
  <cp:lastPrinted>2002-02-16T13:44:29Z</cp:lastPrinted>
  <dcterms:created xsi:type="dcterms:W3CDTF">1999-01-25T20:58:43Z</dcterms:created>
  <dcterms:modified xsi:type="dcterms:W3CDTF">2002-03-27T15:57:36Z</dcterms:modified>
  <cp:category/>
  <cp:version/>
  <cp:contentType/>
  <cp:contentStatus/>
</cp:coreProperties>
</file>